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blpc2021\Documents\Rates\Clean Energy Rider\Draft application\Application\Exhibits\September 30\"/>
    </mc:Choice>
  </mc:AlternateContent>
  <xr:revisionPtr revIDLastSave="0" documentId="13_ncr:1_{633B3D75-BDC9-4B3F-B0B9-0D7AFD5B83D0}" xr6:coauthVersionLast="47" xr6:coauthVersionMax="47" xr10:uidLastSave="{00000000-0000-0000-0000-000000000000}"/>
  <bookViews>
    <workbookView xWindow="-108" yWindow="-108" windowWidth="23256" windowHeight="12456" tabRatio="855" xr2:uid="{083D31B1-59B8-45E1-B4AD-BE96FE1328EB}"/>
  </bookViews>
  <sheets>
    <sheet name="Revenue Requirement" sheetId="1" r:id="rId1"/>
    <sheet name="Cost of Capital" sheetId="2" r:id="rId2"/>
    <sheet name="Depreciation" sheetId="3" r:id="rId3"/>
    <sheet name="O&amp;M Expenses" sheetId="5" r:id="rId4"/>
    <sheet name="Taxes" sheetId="4" r:id="rId5"/>
    <sheet name="Income Statement" sheetId="11" r:id="rId6"/>
  </sheets>
  <externalReferences>
    <externalReference r:id="rId7"/>
    <externalReference r:id="rId8"/>
  </externalReferences>
  <definedNames>
    <definedName name="\A">'[1]Additions (net of transfers)'!#REF!</definedName>
    <definedName name="__CHG1">'[1]Additions (net of transfers)'!#REF!</definedName>
    <definedName name="__CHG2">'[1]Additions (net of transfers)'!#REF!</definedName>
    <definedName name="__DEP2">'[1]Additions (net of transfers)'!#REF!</definedName>
    <definedName name="__DEP3">'[1]Additions (net of transfers)'!#REF!</definedName>
    <definedName name="__DEP4">'[1]Additions (net of transfers)'!#REF!</definedName>
    <definedName name="__DEP5">'[1]Additions (net of transfers)'!#REF!</definedName>
    <definedName name="__DIS1">'[1]Additions (net of transfers)'!#REF!</definedName>
    <definedName name="__DIS2">'[1]Additions (net of transfers)'!#REF!</definedName>
    <definedName name="__RET1">'[1]Additions (net of transfers)'!#REF!</definedName>
    <definedName name="__RET2">'[1]Additions (net of transfers)'!#REF!</definedName>
    <definedName name="__SCH1">'[1]Additions (net of transfers)'!#REF!</definedName>
    <definedName name="__SCH2">'[1]Additions (net of transfers)'!#REF!</definedName>
    <definedName name="__SCH3">'[1]Additions (net of transfers)'!#REF!</definedName>
    <definedName name="__SCH4">'[1]Additions (net of transfers)'!#REF!</definedName>
    <definedName name="__SCH5">'[1]Additions (net of transfers)'!#REF!</definedName>
    <definedName name="__TFR1">'[1]Additions (net of transfers)'!#REF!</definedName>
    <definedName name="__TFR2">'[1]Additions (net of transfers)'!#REF!</definedName>
    <definedName name="_Fill" hidden="1">'[1]Additions (net of transfers)'!#REF!</definedName>
    <definedName name="_Order1" hidden="1">255</definedName>
    <definedName name="_Order2" hidden="1">255</definedName>
    <definedName name="_Sort" hidden="1">#REF!</definedName>
    <definedName name="ACC">#REF!</definedName>
    <definedName name="DEP">'[1]Additions (net of transfers)'!#REF!</definedName>
    <definedName name="HC">'[1]Additions (net of transfers)'!#REF!</definedName>
    <definedName name="HCD">'[1]Additions (net of transfers)'!#REF!</definedName>
    <definedName name="HCDN">'[1]Additions (net of transfers)'!#REF!</definedName>
    <definedName name="HCN">'[1]Additions (net of transfers)'!#REF!</definedName>
    <definedName name="LSD_D12___BUILDING">'[1]INVESTMENT ALLOWANCE'!#REF!</definedName>
    <definedName name="LSD_D12___EQUIPMENT">'[1]INVESTMENT ALLOWANCE'!#REF!</definedName>
    <definedName name="LSD_D13___BUILDING">'[1]INVESTMENT ALLOWANCE'!#REF!</definedName>
    <definedName name="LSD_D13___EQUIPMENT">'[1]INVESTMENT ALLOWANCE'!#REF!</definedName>
    <definedName name="LSD_D14___D15___BUILDING">'[1]INVESTMENT ALLOWANCE'!#REF!</definedName>
    <definedName name="LSD_D14___D15___EQUIPMENT">'[1]INVESTMENT ALLOWANCE'!#REF!</definedName>
    <definedName name="NvsASD">"V2009-12-31"</definedName>
    <definedName name="NvsAutoDrillOk">"VN"</definedName>
    <definedName name="NvsElapsedTime">0.0000347222157870419</definedName>
    <definedName name="NvsEndTime">40170.5304282407</definedName>
    <definedName name="NvsInstLang">"VENG"</definedName>
    <definedName name="NvsInstSpec">"%"</definedName>
    <definedName name="NvsInstSpec1">","</definedName>
    <definedName name="NvsInstSpec2">","</definedName>
    <definedName name="NvsInstSpec3">","</definedName>
    <definedName name="NvsInstSpec4">","</definedName>
    <definedName name="NvsInstSpec5">","</definedName>
    <definedName name="NvsInstSpec6">","</definedName>
    <definedName name="NvsInstSpec7">","</definedName>
    <definedName name="NvsInstSpec8">","</definedName>
    <definedName name="NvsInstSpec9">","</definedName>
    <definedName name="NvsLayoutType">"M3"</definedName>
    <definedName name="NvsNplSpec">"%,X,RZF.PROJECT_ID.,CZF.."</definedName>
    <definedName name="NvsPanelBusUnit">"VBLPC1"</definedName>
    <definedName name="NvsPanelEffdt">"V1900-01-01"</definedName>
    <definedName name="NvsPanelSetid">"VSHARE"</definedName>
    <definedName name="NvsReqBU">"VBLPC1"</definedName>
    <definedName name="NvsReqBUOnly">"VY"</definedName>
    <definedName name="NvsTransLed">"VN"</definedName>
    <definedName name="NvsTreeASD">"V2009-12-31"</definedName>
    <definedName name="NvsValTbl.ACCOUNT">"GL_ACCOUNT_TBL"</definedName>
    <definedName name="NvsValTbl.DEPTID">"DEPARTMENT_TBL"</definedName>
    <definedName name="NvsValTbl.PRODUCT">"PRODUCT_TBL"</definedName>
    <definedName name="NvsValTbl.PROJECT_ID">"PROJECT"</definedName>
    <definedName name="NvsValTbl.SCENARIO">"BD_SCENARIO_TBL"</definedName>
    <definedName name="O_STK">[2]FUELCOST!#REF!</definedName>
    <definedName name="PRICES">[2]FUELCOST!#REF!</definedName>
    <definedName name="RATE1">'[1]Additions (net of transfers)'!#REF!</definedName>
    <definedName name="RATE2">'[1]Additions (net of transfers)'!#REF!</definedName>
    <definedName name="REC">[2]FUELCOST!#REF!</definedName>
    <definedName name="STK">[2]FUELCOST!#REF!</definedName>
    <definedName name="titl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1" l="1"/>
  <c r="A3" i="4"/>
  <c r="A3" i="5"/>
  <c r="A3" i="3"/>
  <c r="A3" i="2"/>
  <c r="M49" i="4" l="1"/>
  <c r="M48" i="4"/>
  <c r="K48" i="4"/>
  <c r="M47" i="4"/>
  <c r="K47" i="4"/>
  <c r="M44" i="4"/>
  <c r="M43" i="4"/>
  <c r="K44" i="4"/>
  <c r="K43" i="4"/>
  <c r="D15" i="3" l="1"/>
  <c r="F15" i="3" s="1"/>
  <c r="D14" i="3"/>
  <c r="F14" i="3" s="1"/>
  <c r="D13" i="3"/>
  <c r="F13" i="3" s="1"/>
  <c r="D12" i="3"/>
  <c r="F12" i="3" s="1"/>
  <c r="D9" i="3"/>
  <c r="F9" i="3" s="1"/>
  <c r="D8" i="3"/>
  <c r="F8" i="3" s="1"/>
  <c r="E15" i="3" l="1"/>
  <c r="E14" i="3"/>
  <c r="E13" i="3"/>
  <c r="E12" i="3"/>
  <c r="E16" i="3" s="1"/>
  <c r="E10" i="3"/>
  <c r="F27" i="1" l="1"/>
  <c r="D17" i="11"/>
  <c r="B17" i="11"/>
  <c r="K38" i="4"/>
  <c r="K37" i="4"/>
  <c r="E12" i="5"/>
  <c r="C12" i="5"/>
  <c r="J49" i="4" l="1"/>
  <c r="J45" i="4"/>
  <c r="A2" i="11" l="1"/>
  <c r="A2" i="4"/>
  <c r="A2" i="5"/>
  <c r="A2" i="3"/>
  <c r="A2" i="2"/>
  <c r="J40" i="4"/>
  <c r="D27" i="1" l="1"/>
  <c r="D10" i="2" l="1"/>
  <c r="D9" i="2" l="1"/>
  <c r="D12" i="2" s="1"/>
  <c r="G15" i="3" l="1"/>
  <c r="G13" i="3"/>
  <c r="I13" i="3" s="1"/>
  <c r="G9" i="3"/>
  <c r="K9" i="3" s="1"/>
  <c r="K10" i="3" s="1"/>
  <c r="G14" i="3"/>
  <c r="K14" i="3" s="1"/>
  <c r="F22" i="1"/>
  <c r="D22" i="1"/>
  <c r="J12" i="4" l="1"/>
  <c r="K23" i="3"/>
  <c r="K15" i="3"/>
  <c r="K16" i="3"/>
  <c r="G12" i="3"/>
  <c r="I12" i="3" s="1"/>
  <c r="I16" i="3" s="1"/>
  <c r="F16" i="3"/>
  <c r="G8" i="3"/>
  <c r="F10" i="3"/>
  <c r="G10" i="3" l="1"/>
  <c r="I8" i="3"/>
  <c r="I10" i="3" s="1"/>
  <c r="K24" i="3"/>
  <c r="K25" i="3" s="1"/>
  <c r="J13" i="4"/>
  <c r="G16" i="3"/>
  <c r="F10" i="1"/>
  <c r="J11" i="4"/>
  <c r="I24" i="3"/>
  <c r="M12" i="4"/>
  <c r="J25" i="4"/>
  <c r="M25" i="4" s="1"/>
  <c r="F28" i="1" l="1"/>
  <c r="D33" i="4"/>
  <c r="D16" i="11"/>
  <c r="M37" i="4"/>
  <c r="K11" i="4"/>
  <c r="J24" i="4"/>
  <c r="K24" i="4" s="1"/>
  <c r="K36" i="4" s="1"/>
  <c r="M13" i="4"/>
  <c r="M16" i="4" s="1"/>
  <c r="J26" i="4"/>
  <c r="M26" i="4" s="1"/>
  <c r="M38" i="4" s="1"/>
  <c r="D10" i="1"/>
  <c r="I23" i="3"/>
  <c r="I25" i="3" s="1"/>
  <c r="J10" i="4"/>
  <c r="F11" i="1"/>
  <c r="F29" i="1"/>
  <c r="F18" i="1" s="1"/>
  <c r="D31" i="4" l="1"/>
  <c r="D17" i="4"/>
  <c r="M40" i="4"/>
  <c r="B14" i="4"/>
  <c r="B33" i="4"/>
  <c r="B16" i="11"/>
  <c r="D28" i="1"/>
  <c r="D14" i="4"/>
  <c r="M28" i="4"/>
  <c r="D18" i="4" s="1"/>
  <c r="B18" i="11"/>
  <c r="D18" i="11"/>
  <c r="D19" i="11" s="1"/>
  <c r="D29" i="1"/>
  <c r="D18" i="1" s="1"/>
  <c r="D11" i="1"/>
  <c r="K10" i="4"/>
  <c r="K16" i="4" s="1"/>
  <c r="J23" i="4"/>
  <c r="J16" i="4"/>
  <c r="D35" i="4" l="1"/>
  <c r="D39" i="4" s="1"/>
  <c r="B19" i="11"/>
  <c r="K23" i="4"/>
  <c r="J28" i="4"/>
  <c r="B17" i="4"/>
  <c r="B31" i="4"/>
  <c r="D24" i="11" l="1"/>
  <c r="D40" i="4"/>
  <c r="F15" i="1" s="1"/>
  <c r="F20" i="1" s="1"/>
  <c r="B35" i="4"/>
  <c r="B39" i="4" s="1"/>
  <c r="D26" i="11"/>
  <c r="M45" i="4"/>
  <c r="F32" i="1"/>
  <c r="K35" i="4"/>
  <c r="K28" i="4"/>
  <c r="B18" i="4" s="1"/>
  <c r="F34" i="1" l="1"/>
  <c r="F36" i="1" s="1"/>
  <c r="F24" i="1"/>
  <c r="B24" i="11"/>
  <c r="D32" i="1" s="1"/>
  <c r="B40" i="4"/>
  <c r="D15" i="1" s="1"/>
  <c r="D20" i="1" s="1"/>
  <c r="K40" i="4"/>
  <c r="F38" i="1" l="1"/>
  <c r="D24" i="1"/>
  <c r="K45" i="4"/>
  <c r="K49" i="4"/>
  <c r="B26" i="11" s="1"/>
  <c r="D34" i="1" l="1"/>
  <c r="D36" i="1" s="1"/>
  <c r="D38" i="1" s="1"/>
  <c r="B10" i="11" l="1"/>
  <c r="B12" i="11" s="1"/>
  <c r="D10" i="11"/>
  <c r="D12" i="11" s="1"/>
  <c r="D11" i="4" l="1"/>
  <c r="D20" i="4" s="1"/>
  <c r="D25" i="4" s="1"/>
  <c r="B11" i="4"/>
  <c r="B20" i="4" s="1"/>
  <c r="B25" i="4" s="1"/>
  <c r="B23" i="11" l="1"/>
  <c r="B27" i="11" s="1"/>
  <c r="D23" i="11"/>
  <c r="D27" i="11" l="1"/>
  <c r="B29" i="11"/>
  <c r="B32" i="11"/>
  <c r="B36" i="11" l="1"/>
  <c r="D29" i="11"/>
  <c r="D32" i="11"/>
  <c r="D36" i="11" l="1"/>
</calcChain>
</file>

<file path=xl/sharedStrings.xml><?xml version="1.0" encoding="utf-8"?>
<sst xmlns="http://schemas.openxmlformats.org/spreadsheetml/2006/main" count="145" uniqueCount="97">
  <si>
    <t>Revenue Requirement Analysis</t>
  </si>
  <si>
    <t>Description</t>
  </si>
  <si>
    <t>Year End</t>
  </si>
  <si>
    <t>Less: Customer Contributed Capital</t>
  </si>
  <si>
    <t xml:space="preserve"> Deferred Income Taxes</t>
  </si>
  <si>
    <t xml:space="preserve"> Plus: Working Capital </t>
  </si>
  <si>
    <t xml:space="preserve">     Gross Cash Requirements </t>
  </si>
  <si>
    <t xml:space="preserve"> Total Year End Rate Base </t>
  </si>
  <si>
    <t xml:space="preserve"> Rate of Return </t>
  </si>
  <si>
    <t>Cost of Service:</t>
  </si>
  <si>
    <t>Operation &amp; Maintenance Expense</t>
  </si>
  <si>
    <t>Depreciation</t>
  </si>
  <si>
    <t xml:space="preserve">        Total Cost of Service</t>
  </si>
  <si>
    <t xml:space="preserve">        Total Revenue Requirement</t>
  </si>
  <si>
    <t>Barbados Light &amp; Power</t>
  </si>
  <si>
    <t xml:space="preserve">      Accumulated Deferred Income Tax Liability</t>
  </si>
  <si>
    <t>Taxes</t>
  </si>
  <si>
    <t>Insurance</t>
  </si>
  <si>
    <t xml:space="preserve">   Corporation tax expense</t>
  </si>
  <si>
    <t xml:space="preserve">   Deferred taxes</t>
  </si>
  <si>
    <t xml:space="preserve">   Deferred investment tax credit</t>
  </si>
  <si>
    <t xml:space="preserve">   Deferred manufacturers tax credit</t>
  </si>
  <si>
    <t xml:space="preserve"> Total Net Plant/Asset</t>
  </si>
  <si>
    <t>Authorized Return   (Rate Base * Rate of Return)</t>
  </si>
  <si>
    <t>Capital Structure</t>
  </si>
  <si>
    <t xml:space="preserve">Percent </t>
  </si>
  <si>
    <t>Rate of</t>
  </si>
  <si>
    <t>Rate</t>
  </si>
  <si>
    <t>Capitalization</t>
  </si>
  <si>
    <t>Return</t>
  </si>
  <si>
    <t>Equity</t>
  </si>
  <si>
    <t>Debt</t>
  </si>
  <si>
    <t>Total</t>
  </si>
  <si>
    <t>Electric Utility Plant/Asset in Service</t>
  </si>
  <si>
    <t>Cost</t>
  </si>
  <si>
    <t>Depreciation Rate</t>
  </si>
  <si>
    <t>Depreciation Expense</t>
  </si>
  <si>
    <t>O&amp;M Expenses</t>
  </si>
  <si>
    <t xml:space="preserve">CORPORATION TAX COMPUTATION (BDS 000s) </t>
  </si>
  <si>
    <t>FY 2025</t>
  </si>
  <si>
    <t>Profit before taxes per Income Statement</t>
  </si>
  <si>
    <t>ADD:</t>
  </si>
  <si>
    <t>LESS:</t>
  </si>
  <si>
    <t>Deferred Manufacturing tax credit</t>
  </si>
  <si>
    <t>Annual Allowance</t>
  </si>
  <si>
    <t>Manufacturing Allowance</t>
  </si>
  <si>
    <t>Adjusted Profit/(Loss)</t>
  </si>
  <si>
    <t>Tax Rate</t>
  </si>
  <si>
    <t>Corporation Tax Payable</t>
  </si>
  <si>
    <t>Per Income Statement</t>
  </si>
  <si>
    <t>CAPITAL ALLOWANCES</t>
  </si>
  <si>
    <t>Year</t>
  </si>
  <si>
    <t>MAN. TAX CREDITS</t>
  </si>
  <si>
    <t>50 % of Cost</t>
  </si>
  <si>
    <t>Tax Depreciation</t>
  </si>
  <si>
    <t>Less Financial Depreciation</t>
  </si>
  <si>
    <t>Deferred Charge for year</t>
  </si>
  <si>
    <t>Deferred Charge Balance</t>
  </si>
  <si>
    <t>Deferred Man Charge for year</t>
  </si>
  <si>
    <t>Deferred Taxes</t>
  </si>
  <si>
    <t>Forecast</t>
  </si>
  <si>
    <t>Revenues</t>
  </si>
  <si>
    <t xml:space="preserve">  Basic Revenue</t>
  </si>
  <si>
    <t>Operating and maintenance expenses</t>
  </si>
  <si>
    <t>Current Portion</t>
  </si>
  <si>
    <t>Deferred Portion</t>
  </si>
  <si>
    <t>Deferred investment tax credit</t>
  </si>
  <si>
    <t>Total expenses</t>
  </si>
  <si>
    <t>Operating Income</t>
  </si>
  <si>
    <t>Finance Costs</t>
  </si>
  <si>
    <t>Net income for the year</t>
  </si>
  <si>
    <t>DEF. MAN. TAX CREDITS</t>
  </si>
  <si>
    <t>Income Statement</t>
  </si>
  <si>
    <t>Synchronous Condensers</t>
  </si>
  <si>
    <t>Substation Buildings</t>
  </si>
  <si>
    <t>Substation Equipment</t>
  </si>
  <si>
    <t>Amortization</t>
  </si>
  <si>
    <t>SCO1 &amp; 2 Civil Works</t>
  </si>
  <si>
    <t>SCO3 &amp; 4 Civil Works</t>
  </si>
  <si>
    <t>SCO1 Equipment</t>
  </si>
  <si>
    <t>SCO2 Equipment</t>
  </si>
  <si>
    <t>SCO3 Equipment</t>
  </si>
  <si>
    <t>SCO4 Equipment</t>
  </si>
  <si>
    <t>SCO1 Maintenance</t>
  </si>
  <si>
    <t>SCO2 Maintenance</t>
  </si>
  <si>
    <t>SCO3 Maintenance</t>
  </si>
  <si>
    <t>SCO4 Maintenance</t>
  </si>
  <si>
    <t>Distribution</t>
  </si>
  <si>
    <t>Capital Cost</t>
  </si>
  <si>
    <t>AFUDC</t>
  </si>
  <si>
    <t>Start Date</t>
  </si>
  <si>
    <t>CAP Date</t>
  </si>
  <si>
    <t>No. of Months</t>
  </si>
  <si>
    <t>FY 2026</t>
  </si>
  <si>
    <t>Clean Energy Transistion Plan Project 1</t>
  </si>
  <si>
    <t>NOTE: See Exhibit BESS-1 for detail calculation of Cost of Capital</t>
  </si>
  <si>
    <t>Deferred Tax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</si>
</sst>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_(* #,##0.0000_);_(* \(#,##0.0000\);_(* &quot;-&quot;??_);_(@_)"/>
    <numFmt numFmtId="167" formatCode="0.000%"/>
    <numFmt numFmtId="168" formatCode="0_);\(0\)"/>
    <numFmt numFmtId="169" formatCode="0.0000%"/>
    <numFmt numFmtId="170" formatCode="0.00000%"/>
    <numFmt numFmtId="171" formatCode="[$-409]d\-mmm\-yy;@"/>
    <numFmt numFmtId="172" formatCode="mmmm\ d\,\ yyyy"/>
    <numFmt numFmtId="173" formatCode="_-* #,##0.00_-;\-* #,##0.00_-;_-* &quot;-&quot;??_-;_-@_-"/>
    <numFmt numFmtId="174" formatCode="_-* #,##0_-;\-* #,##0_-;_-* &quot;-&quot;??_-;_-@_-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i/>
      <sz val="11"/>
      <name val="Arial"/>
      <family val="2"/>
    </font>
    <font>
      <b/>
      <i/>
      <u/>
      <sz val="11"/>
      <name val="Arial"/>
      <family val="2"/>
    </font>
    <font>
      <i/>
      <u/>
      <sz val="11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name val="Times New Roman"/>
      <family val="1"/>
    </font>
    <font>
      <sz val="8"/>
      <name val="Calibri"/>
      <family val="2"/>
      <scheme val="minor"/>
    </font>
    <font>
      <sz val="10"/>
      <name val="Arial MT"/>
    </font>
    <font>
      <b/>
      <sz val="11"/>
      <name val="Arial Narrow"/>
      <family val="2"/>
    </font>
    <font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sz val="11"/>
      <name val="Arial Narrow"/>
      <family val="2"/>
    </font>
    <font>
      <sz val="10"/>
      <name val="Helv"/>
    </font>
    <font>
      <u/>
      <sz val="10"/>
      <name val="Arial MT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2" fontId="9" fillId="0" borderId="0"/>
    <xf numFmtId="0" fontId="10" fillId="0" borderId="0"/>
    <xf numFmtId="9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39" fontId="15" fillId="0" borderId="0"/>
    <xf numFmtId="43" fontId="1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1" fillId="0" borderId="0"/>
    <xf numFmtId="173" fontId="1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2" fillId="0" borderId="0" xfId="0" applyFont="1"/>
    <xf numFmtId="164" fontId="4" fillId="0" borderId="0" xfId="2" applyNumberFormat="1" applyFont="1" applyFill="1"/>
    <xf numFmtId="164" fontId="4" fillId="0" borderId="0" xfId="2" applyNumberFormat="1" applyFont="1" applyFill="1" applyAlignment="1">
      <alignment horizontal="center"/>
    </xf>
    <xf numFmtId="42" fontId="4" fillId="0" borderId="0" xfId="4" applyFont="1"/>
    <xf numFmtId="41" fontId="4" fillId="0" borderId="1" xfId="2" applyNumberFormat="1" applyFont="1" applyFill="1" applyBorder="1"/>
    <xf numFmtId="41" fontId="4" fillId="0" borderId="0" xfId="2" applyNumberFormat="1" applyFont="1" applyFill="1" applyAlignment="1">
      <alignment horizontal="center"/>
    </xf>
    <xf numFmtId="41" fontId="4" fillId="0" borderId="0" xfId="2" applyNumberFormat="1" applyFont="1" applyFill="1"/>
    <xf numFmtId="41" fontId="0" fillId="0" borderId="0" xfId="0" applyNumberFormat="1"/>
    <xf numFmtId="41" fontId="4" fillId="0" borderId="0" xfId="0" applyNumberFormat="1" applyFont="1"/>
    <xf numFmtId="0" fontId="4" fillId="0" borderId="0" xfId="0" applyFont="1" applyAlignment="1" applyProtection="1">
      <alignment horizontal="left" vertical="top"/>
      <protection locked="0"/>
    </xf>
    <xf numFmtId="41" fontId="4" fillId="0" borderId="0" xfId="2" applyNumberFormat="1" applyFont="1" applyFill="1" applyBorder="1"/>
    <xf numFmtId="41" fontId="4" fillId="0" borderId="0" xfId="2" applyNumberFormat="1" applyFont="1" applyFill="1" applyBorder="1" applyAlignment="1">
      <alignment horizontal="center"/>
    </xf>
    <xf numFmtId="164" fontId="4" fillId="0" borderId="2" xfId="0" applyNumberFormat="1" applyFont="1" applyBorder="1"/>
    <xf numFmtId="164" fontId="4" fillId="0" borderId="0" xfId="0" applyNumberFormat="1" applyFont="1"/>
    <xf numFmtId="42" fontId="2" fillId="0" borderId="0" xfId="4" applyFont="1"/>
    <xf numFmtId="10" fontId="4" fillId="0" borderId="0" xfId="0" applyNumberFormat="1" applyFont="1"/>
    <xf numFmtId="0" fontId="6" fillId="0" borderId="0" xfId="4" applyNumberFormat="1" applyFont="1"/>
    <xf numFmtId="0" fontId="4" fillId="0" borderId="0" xfId="4" applyNumberFormat="1" applyFont="1"/>
    <xf numFmtId="10" fontId="2" fillId="0" borderId="0" xfId="0" applyNumberFormat="1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7" fillId="0" borderId="0" xfId="0" applyFont="1"/>
    <xf numFmtId="0" fontId="8" fillId="0" borderId="0" xfId="0" applyFont="1"/>
    <xf numFmtId="0" fontId="4" fillId="0" borderId="0" xfId="3" applyNumberFormat="1" applyFont="1" applyFill="1"/>
    <xf numFmtId="165" fontId="4" fillId="0" borderId="0" xfId="2" applyNumberFormat="1" applyFont="1" applyFill="1"/>
    <xf numFmtId="41" fontId="4" fillId="0" borderId="0" xfId="1" applyNumberFormat="1" applyFont="1" applyFill="1"/>
    <xf numFmtId="43" fontId="4" fillId="0" borderId="0" xfId="3" applyNumberFormat="1" applyFont="1" applyFill="1"/>
    <xf numFmtId="43" fontId="0" fillId="0" borderId="0" xfId="0" applyNumberFormat="1"/>
    <xf numFmtId="166" fontId="0" fillId="0" borderId="0" xfId="0" applyNumberFormat="1"/>
    <xf numFmtId="167" fontId="4" fillId="0" borderId="0" xfId="3" applyNumberFormat="1" applyFont="1" applyFill="1" applyAlignment="1">
      <alignment horizontal="center"/>
    </xf>
    <xf numFmtId="41" fontId="4" fillId="0" borderId="0" xfId="4" applyNumberFormat="1" applyFont="1"/>
    <xf numFmtId="41" fontId="4" fillId="0" borderId="0" xfId="1" applyNumberFormat="1" applyFont="1" applyFill="1" applyBorder="1"/>
    <xf numFmtId="0" fontId="6" fillId="0" borderId="0" xfId="0" applyFont="1" applyAlignment="1">
      <alignment horizontal="left"/>
    </xf>
    <xf numFmtId="0" fontId="6" fillId="0" borderId="0" xfId="0" applyFont="1"/>
    <xf numFmtId="0" fontId="2" fillId="0" borderId="0" xfId="0" applyFont="1" applyAlignment="1">
      <alignment horizontal="left"/>
    </xf>
    <xf numFmtId="164" fontId="4" fillId="0" borderId="0" xfId="2" applyNumberFormat="1" applyFont="1" applyFill="1" applyBorder="1"/>
    <xf numFmtId="0" fontId="4" fillId="0" borderId="0" xfId="0" applyFont="1" applyAlignment="1">
      <alignment horizontal="center"/>
    </xf>
    <xf numFmtId="39" fontId="4" fillId="0" borderId="0" xfId="5" applyNumberFormat="1" applyFont="1" applyAlignment="1">
      <alignment horizontal="left"/>
    </xf>
    <xf numFmtId="164" fontId="2" fillId="0" borderId="3" xfId="0" applyNumberFormat="1" applyFont="1" applyBorder="1"/>
    <xf numFmtId="164" fontId="2" fillId="0" borderId="1" xfId="0" applyNumberFormat="1" applyFont="1" applyBorder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0" fontId="4" fillId="0" borderId="0" xfId="6" applyNumberFormat="1" applyFont="1" applyAlignment="1">
      <alignment horizontal="center"/>
    </xf>
    <xf numFmtId="10" fontId="4" fillId="0" borderId="2" xfId="0" applyNumberFormat="1" applyFont="1" applyBorder="1" applyAlignment="1">
      <alignment horizontal="center"/>
    </xf>
    <xf numFmtId="10" fontId="0" fillId="0" borderId="0" xfId="3" applyNumberFormat="1" applyFont="1"/>
    <xf numFmtId="43" fontId="0" fillId="0" borderId="0" xfId="1" applyFont="1"/>
    <xf numFmtId="43" fontId="0" fillId="0" borderId="4" xfId="0" applyNumberFormat="1" applyBorder="1"/>
    <xf numFmtId="10" fontId="0" fillId="0" borderId="0" xfId="0" applyNumberFormat="1"/>
    <xf numFmtId="0" fontId="12" fillId="0" borderId="0" xfId="0" applyFont="1"/>
    <xf numFmtId="39" fontId="11" fillId="0" borderId="0" xfId="9" applyFont="1"/>
    <xf numFmtId="0" fontId="16" fillId="0" borderId="1" xfId="10" applyNumberFormat="1" applyFont="1" applyFill="1" applyBorder="1" applyAlignment="1">
      <alignment horizontal="center" vertical="center" wrapText="1"/>
    </xf>
    <xf numFmtId="39" fontId="15" fillId="0" borderId="0" xfId="9"/>
    <xf numFmtId="39" fontId="17" fillId="0" borderId="0" xfId="9" applyFont="1"/>
    <xf numFmtId="39" fontId="18" fillId="0" borderId="0" xfId="9" applyFont="1"/>
    <xf numFmtId="0" fontId="13" fillId="2" borderId="6" xfId="11" applyFont="1" applyFill="1" applyBorder="1" applyAlignment="1">
      <alignment horizontal="center" vertical="center"/>
    </xf>
    <xf numFmtId="168" fontId="13" fillId="2" borderId="6" xfId="11" quotePrefix="1" applyNumberFormat="1" applyFont="1" applyFill="1" applyBorder="1" applyAlignment="1">
      <alignment horizontal="center" vertical="center"/>
    </xf>
    <xf numFmtId="0" fontId="13" fillId="0" borderId="0" xfId="11" applyFont="1" applyAlignment="1">
      <alignment vertical="center"/>
    </xf>
    <xf numFmtId="10" fontId="13" fillId="0" borderId="0" xfId="13" applyNumberFormat="1" applyFont="1" applyFill="1" applyAlignment="1">
      <alignment vertical="center"/>
    </xf>
    <xf numFmtId="37" fontId="13" fillId="0" borderId="0" xfId="12" applyNumberFormat="1" applyFont="1" applyFill="1" applyAlignment="1">
      <alignment vertical="center"/>
    </xf>
    <xf numFmtId="165" fontId="13" fillId="0" borderId="0" xfId="12" applyNumberFormat="1" applyFont="1" applyFill="1" applyAlignment="1">
      <alignment vertical="center"/>
    </xf>
    <xf numFmtId="39" fontId="15" fillId="0" borderId="5" xfId="9" applyBorder="1"/>
    <xf numFmtId="169" fontId="0" fillId="0" borderId="0" xfId="13" applyNumberFormat="1" applyFont="1"/>
    <xf numFmtId="0" fontId="19" fillId="0" borderId="0" xfId="0" applyFont="1"/>
    <xf numFmtId="37" fontId="13" fillId="0" borderId="4" xfId="12" applyNumberFormat="1" applyFont="1" applyFill="1" applyBorder="1" applyAlignment="1">
      <alignment vertical="center"/>
    </xf>
    <xf numFmtId="37" fontId="20" fillId="0" borderId="0" xfId="0" applyNumberFormat="1" applyFont="1" applyAlignment="1">
      <alignment horizontal="center" vertical="center"/>
    </xf>
    <xf numFmtId="172" fontId="16" fillId="0" borderId="0" xfId="14" applyNumberFormat="1" applyFont="1" applyAlignment="1">
      <alignment horizontal="center" vertical="center"/>
    </xf>
    <xf numFmtId="0" fontId="20" fillId="0" borderId="0" xfId="0" applyFont="1" applyAlignment="1">
      <alignment vertical="center"/>
    </xf>
    <xf numFmtId="0" fontId="0" fillId="0" borderId="1" xfId="0" applyBorder="1"/>
    <xf numFmtId="41" fontId="0" fillId="0" borderId="5" xfId="0" applyNumberFormat="1" applyBorder="1"/>
    <xf numFmtId="173" fontId="20" fillId="0" borderId="0" xfId="15" applyFont="1" applyFill="1" applyBorder="1" applyAlignment="1">
      <alignment horizontal="right" vertical="center"/>
    </xf>
    <xf numFmtId="41" fontId="12" fillId="0" borderId="5" xfId="0" applyNumberFormat="1" applyFont="1" applyBorder="1"/>
    <xf numFmtId="41" fontId="0" fillId="0" borderId="4" xfId="0" applyNumberFormat="1" applyBorder="1"/>
    <xf numFmtId="41" fontId="0" fillId="0" borderId="1" xfId="0" applyNumberFormat="1" applyBorder="1"/>
    <xf numFmtId="174" fontId="2" fillId="0" borderId="2" xfId="15" applyNumberFormat="1" applyFont="1" applyFill="1" applyBorder="1"/>
    <xf numFmtId="39" fontId="0" fillId="0" borderId="0" xfId="0" applyNumberFormat="1"/>
    <xf numFmtId="10" fontId="2" fillId="0" borderId="0" xfId="0" applyNumberFormat="1" applyFont="1"/>
    <xf numFmtId="164" fontId="2" fillId="0" borderId="0" xfId="2" applyNumberFormat="1" applyFont="1" applyAlignment="1">
      <alignment horizontal="center"/>
    </xf>
    <xf numFmtId="37" fontId="13" fillId="0" borderId="5" xfId="12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39" fontId="22" fillId="0" borderId="0" xfId="9" applyFont="1"/>
    <xf numFmtId="37" fontId="0" fillId="0" borderId="0" xfId="0" applyNumberFormat="1"/>
    <xf numFmtId="0" fontId="23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43" fontId="12" fillId="0" borderId="4" xfId="0" applyNumberFormat="1" applyFont="1" applyBorder="1"/>
    <xf numFmtId="41" fontId="4" fillId="0" borderId="7" xfId="2" applyNumberFormat="1" applyFont="1" applyFill="1" applyBorder="1"/>
    <xf numFmtId="9" fontId="13" fillId="0" borderId="0" xfId="3" applyFont="1" applyFill="1" applyAlignment="1">
      <alignment vertical="center"/>
    </xf>
    <xf numFmtId="43" fontId="24" fillId="0" borderId="0" xfId="1" applyFont="1"/>
    <xf numFmtId="43" fontId="24" fillId="0" borderId="4" xfId="0" applyNumberFormat="1" applyFont="1" applyBorder="1"/>
    <xf numFmtId="170" fontId="0" fillId="0" borderId="0" xfId="13" applyNumberFormat="1" applyFont="1" applyFill="1"/>
    <xf numFmtId="171" fontId="25" fillId="0" borderId="0" xfId="0" applyNumberFormat="1" applyFont="1" applyAlignment="1">
      <alignment horizontal="center" vertical="center"/>
    </xf>
    <xf numFmtId="0" fontId="24" fillId="0" borderId="0" xfId="0" applyFont="1"/>
    <xf numFmtId="164" fontId="0" fillId="0" borderId="0" xfId="0" applyNumberForma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</cellXfs>
  <cellStyles count="16">
    <cellStyle name="Comma" xfId="1" builtinId="3"/>
    <cellStyle name="Comma 2" xfId="7" xr:uid="{C549E61E-8A52-4C20-8F57-CBFB99515EB2}"/>
    <cellStyle name="Comma 3" xfId="12" xr:uid="{D05DB49F-A67E-4D88-8EBE-446DE5C323E1}"/>
    <cellStyle name="Comma 4" xfId="10" xr:uid="{42E07785-1738-4539-8116-919AB9E222A3}"/>
    <cellStyle name="Comma 5" xfId="15" xr:uid="{B2059CBC-013E-4B9C-ADF9-DE2901E1007F}"/>
    <cellStyle name="Currency" xfId="2" builtinId="4"/>
    <cellStyle name="Normal" xfId="0" builtinId="0"/>
    <cellStyle name="Normal 3" xfId="8" xr:uid="{EECC9D74-C055-4946-9981-61F0540BC381}"/>
    <cellStyle name="Normal 4" xfId="9" xr:uid="{0E87E9B6-5422-492F-A571-67EF083DB593}"/>
    <cellStyle name="Normal_BalSht2" xfId="5" xr:uid="{677F4597-2252-4D23-9EF5-0646EB8FC844}"/>
    <cellStyle name="Normal_FIN&amp;STAT-APR 2010" xfId="14" xr:uid="{8EF66E66-42D9-498C-97C6-782A58F3C989}"/>
    <cellStyle name="Normal_Manufallowance_2008" xfId="11" xr:uid="{4CDFF4AD-F883-498F-924C-02019BFF6015}"/>
    <cellStyle name="Normal_Rev Req Analysis_Rev1" xfId="4" xr:uid="{74763127-A91C-4ED8-898F-1405367FB86D}"/>
    <cellStyle name="Percent" xfId="3" builtinId="5"/>
    <cellStyle name="Percent 10 2" xfId="6" xr:uid="{0E402A0F-60D5-4E65-BE79-1764FA331DD2}"/>
    <cellStyle name="Percent 2" xfId="13" xr:uid="{37634002-7434-4B92-BEB2-4114A1FF68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UDIT\FINAL\TAX\investment%20tax%20credit%201979-2007_Revised%20Feb%2019,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uel\Under(Over)%20Recovery\FUEL-UNDER(OVER)%20RECOVERY%2020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dditions (net of transfers)"/>
      <sheetName val="INVESTMENT ALLOWANCE"/>
      <sheetName val="tax credits revised"/>
      <sheetName val="tax credits (original)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Sheet1"/>
      <sheetName val="FUELCOST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CEE19-71A2-40CC-A4D8-2DB9C2C8C3BD}">
  <dimension ref="A1:J40"/>
  <sheetViews>
    <sheetView tabSelected="1" workbookViewId="0">
      <selection activeCell="I15" sqref="I15"/>
    </sheetView>
  </sheetViews>
  <sheetFormatPr defaultRowHeight="14.4"/>
  <cols>
    <col min="1" max="1" width="1.88671875" customWidth="1"/>
    <col min="2" max="2" width="48.88671875" bestFit="1" customWidth="1"/>
    <col min="3" max="3" width="3.21875" customWidth="1"/>
    <col min="4" max="4" width="13.33203125" bestFit="1" customWidth="1"/>
    <col min="5" max="5" width="1.44140625" customWidth="1"/>
    <col min="6" max="6" width="13.33203125" bestFit="1" customWidth="1"/>
    <col min="7" max="7" width="3.6640625" customWidth="1"/>
    <col min="8" max="8" width="12.88671875" bestFit="1" customWidth="1"/>
    <col min="9" max="9" width="8.21875" bestFit="1" customWidth="1"/>
  </cols>
  <sheetData>
    <row r="1" spans="1:8">
      <c r="A1" s="96" t="s">
        <v>14</v>
      </c>
      <c r="B1" s="96"/>
      <c r="C1" s="96"/>
      <c r="D1" s="96"/>
      <c r="E1" s="96"/>
      <c r="F1" s="96"/>
      <c r="G1" s="96"/>
    </row>
    <row r="2" spans="1:8">
      <c r="A2" s="96" t="s">
        <v>94</v>
      </c>
      <c r="B2" s="96"/>
      <c r="C2" s="96"/>
      <c r="D2" s="96"/>
      <c r="E2" s="96"/>
      <c r="F2" s="96"/>
      <c r="G2" s="96"/>
    </row>
    <row r="3" spans="1:8">
      <c r="A3" s="96" t="s">
        <v>73</v>
      </c>
      <c r="B3" s="96"/>
      <c r="C3" s="96"/>
      <c r="D3" s="96"/>
      <c r="E3" s="96"/>
      <c r="F3" s="96"/>
      <c r="G3" s="96"/>
    </row>
    <row r="4" spans="1:8">
      <c r="A4" s="96" t="s">
        <v>0</v>
      </c>
      <c r="B4" s="96"/>
      <c r="C4" s="96"/>
      <c r="D4" s="96"/>
      <c r="E4" s="96"/>
      <c r="F4" s="96"/>
      <c r="G4" s="96"/>
    </row>
    <row r="5" spans="1:8">
      <c r="A5" s="97"/>
      <c r="B5" s="97"/>
      <c r="C5" s="97"/>
      <c r="D5" s="97"/>
      <c r="E5" s="97"/>
      <c r="F5" s="97"/>
      <c r="G5" s="97"/>
    </row>
    <row r="6" spans="1:8">
      <c r="A6" s="97"/>
      <c r="B6" s="97"/>
      <c r="C6" s="97"/>
      <c r="D6" s="97"/>
      <c r="E6" s="97"/>
      <c r="F6" s="97"/>
      <c r="G6" s="97"/>
    </row>
    <row r="7" spans="1:8">
      <c r="A7" s="2"/>
      <c r="B7" s="2"/>
      <c r="C7" s="2"/>
      <c r="D7" s="1">
        <v>2025</v>
      </c>
      <c r="E7" s="1"/>
      <c r="F7" s="1">
        <v>2026</v>
      </c>
      <c r="G7" s="2"/>
    </row>
    <row r="8" spans="1:8">
      <c r="A8" s="3"/>
      <c r="B8" s="4" t="s">
        <v>1</v>
      </c>
      <c r="C8" s="3"/>
      <c r="D8" s="4" t="s">
        <v>2</v>
      </c>
      <c r="E8" s="4"/>
      <c r="F8" s="4" t="s">
        <v>2</v>
      </c>
      <c r="G8" s="3"/>
    </row>
    <row r="9" spans="1:8">
      <c r="A9" s="3"/>
      <c r="B9" s="5" t="s">
        <v>33</v>
      </c>
      <c r="C9" s="3"/>
      <c r="D9" s="3"/>
      <c r="E9" s="3"/>
      <c r="F9" s="3"/>
      <c r="G9" s="3"/>
    </row>
    <row r="10" spans="1:8">
      <c r="A10" s="3"/>
      <c r="B10" s="3" t="s">
        <v>73</v>
      </c>
      <c r="C10" s="3"/>
      <c r="D10" s="6">
        <f>Depreciation!I10+Depreciation!I16</f>
        <v>25140099.708333332</v>
      </c>
      <c r="E10" s="7"/>
      <c r="F10" s="6">
        <f>Depreciation!K10+Depreciation!K16</f>
        <v>25140099.708333332</v>
      </c>
      <c r="H10" s="95"/>
    </row>
    <row r="11" spans="1:8">
      <c r="A11" s="3"/>
      <c r="B11" s="8" t="s">
        <v>22</v>
      </c>
      <c r="C11" s="8"/>
      <c r="D11" s="88">
        <f>SUM(D10:D10)</f>
        <v>25140099.708333332</v>
      </c>
      <c r="E11" s="10"/>
      <c r="F11" s="88">
        <f>SUM(F10:F10)</f>
        <v>25140099.708333332</v>
      </c>
      <c r="G11" s="12"/>
    </row>
    <row r="12" spans="1:8">
      <c r="A12" s="3"/>
      <c r="B12" s="8"/>
      <c r="C12" s="8"/>
      <c r="D12" s="11"/>
      <c r="E12" s="10"/>
      <c r="F12" s="11"/>
      <c r="G12" s="12"/>
    </row>
    <row r="13" spans="1:8">
      <c r="A13" s="3"/>
      <c r="B13" s="14" t="s">
        <v>3</v>
      </c>
      <c r="C13" s="8"/>
      <c r="D13" s="11"/>
      <c r="E13" s="10"/>
      <c r="F13" s="11"/>
      <c r="G13" s="12"/>
    </row>
    <row r="14" spans="1:8">
      <c r="A14" s="3"/>
      <c r="B14" s="14" t="s">
        <v>4</v>
      </c>
      <c r="C14" s="8"/>
      <c r="D14" s="11"/>
      <c r="E14" s="10"/>
      <c r="F14" s="11"/>
      <c r="G14" s="12"/>
    </row>
    <row r="15" spans="1:8">
      <c r="A15" s="3"/>
      <c r="B15" s="41" t="s">
        <v>15</v>
      </c>
      <c r="C15" s="8"/>
      <c r="D15" s="15">
        <f>-Taxes!B40</f>
        <v>-16013.415550763684</v>
      </c>
      <c r="E15" s="16"/>
      <c r="F15" s="15">
        <f>-Taxes!D40</f>
        <v>-16013.415550763668</v>
      </c>
      <c r="G15" s="12"/>
    </row>
    <row r="16" spans="1:8">
      <c r="A16" s="3"/>
      <c r="B16" s="8"/>
      <c r="C16" s="8"/>
      <c r="D16" s="13"/>
      <c r="E16" s="13"/>
      <c r="F16" s="13"/>
      <c r="G16" s="13"/>
    </row>
    <row r="17" spans="1:10">
      <c r="A17" s="3"/>
      <c r="B17" s="8" t="s">
        <v>5</v>
      </c>
      <c r="C17" s="8"/>
      <c r="D17" s="13"/>
      <c r="E17" s="13"/>
      <c r="F17" s="13"/>
      <c r="G17" s="13"/>
    </row>
    <row r="18" spans="1:10">
      <c r="A18" s="3"/>
      <c r="B18" s="8" t="s">
        <v>6</v>
      </c>
      <c r="C18" s="8"/>
      <c r="D18" s="11">
        <f>(D27+D29)*12.5%</f>
        <v>64425.3659109375</v>
      </c>
      <c r="E18" s="11"/>
      <c r="F18" s="11">
        <f>(F27+F29)*12.5%</f>
        <v>64425.3659109375</v>
      </c>
      <c r="G18" s="13"/>
    </row>
    <row r="19" spans="1:10">
      <c r="A19" s="3"/>
      <c r="B19" s="8"/>
      <c r="C19" s="8"/>
      <c r="D19" s="13"/>
      <c r="E19" s="13"/>
      <c r="F19" s="13"/>
      <c r="G19" s="13"/>
    </row>
    <row r="20" spans="1:10" ht="15" thickBot="1">
      <c r="A20" s="3"/>
      <c r="B20" s="8" t="s">
        <v>7</v>
      </c>
      <c r="C20" s="8"/>
      <c r="D20" s="17">
        <f>SUM(D11:D18)</f>
        <v>25188511.658693504</v>
      </c>
      <c r="E20" s="18"/>
      <c r="F20" s="17">
        <f>SUM(F11:F18)</f>
        <v>25188511.658693504</v>
      </c>
      <c r="G20" s="18"/>
    </row>
    <row r="21" spans="1:10" ht="15" thickTop="1">
      <c r="A21" s="3"/>
      <c r="B21" s="8"/>
      <c r="C21" s="8"/>
      <c r="D21" s="3"/>
      <c r="E21" s="3"/>
      <c r="F21" s="3"/>
      <c r="G21" s="3"/>
    </row>
    <row r="22" spans="1:10">
      <c r="A22" s="3"/>
      <c r="B22" s="19" t="s">
        <v>8</v>
      </c>
      <c r="C22" s="8"/>
      <c r="D22" s="79">
        <f>'Cost of Capital'!$D$12</f>
        <v>9.1399999999999995E-2</v>
      </c>
      <c r="E22" s="3"/>
      <c r="F22" s="79">
        <f>'Cost of Capital'!$D$12</f>
        <v>9.1399999999999995E-2</v>
      </c>
      <c r="G22" s="3"/>
    </row>
    <row r="23" spans="1:10">
      <c r="A23" s="3"/>
      <c r="B23" s="3"/>
      <c r="C23" s="3"/>
      <c r="D23" s="3"/>
      <c r="E23" s="3"/>
      <c r="F23" s="3"/>
      <c r="G23" s="3"/>
    </row>
    <row r="24" spans="1:10">
      <c r="A24" s="3"/>
      <c r="B24" s="21" t="s">
        <v>23</v>
      </c>
      <c r="C24" s="22"/>
      <c r="D24" s="80">
        <f>D22*D20</f>
        <v>2302229.9656045861</v>
      </c>
      <c r="E24" s="23"/>
      <c r="F24" s="80">
        <f>F22*F20</f>
        <v>2302229.9656045861</v>
      </c>
      <c r="G24" s="24"/>
    </row>
    <row r="25" spans="1:10">
      <c r="A25" s="3"/>
      <c r="B25" s="21"/>
      <c r="C25" s="22"/>
      <c r="D25" s="3"/>
      <c r="E25" s="3"/>
      <c r="F25" s="3"/>
      <c r="G25" s="3"/>
    </row>
    <row r="26" spans="1:10">
      <c r="A26" s="3"/>
      <c r="B26" s="25" t="s">
        <v>9</v>
      </c>
      <c r="C26" s="26"/>
      <c r="D26" s="3"/>
      <c r="E26" s="3"/>
      <c r="F26" s="3"/>
      <c r="G26" s="3"/>
    </row>
    <row r="27" spans="1:10">
      <c r="A27" s="3"/>
      <c r="B27" s="3" t="s">
        <v>10</v>
      </c>
      <c r="C27" s="3"/>
      <c r="D27" s="6">
        <f>'O&amp;M Expenses'!C12</f>
        <v>281600</v>
      </c>
      <c r="E27" s="6"/>
      <c r="F27" s="6">
        <f>'O&amp;M Expenses'!E12</f>
        <v>281600</v>
      </c>
      <c r="G27" s="13"/>
    </row>
    <row r="28" spans="1:10">
      <c r="A28" s="3"/>
      <c r="B28" s="3" t="s">
        <v>11</v>
      </c>
      <c r="C28" s="3"/>
      <c r="D28" s="11">
        <f>+Depreciation!I25</f>
        <v>571463.09362720023</v>
      </c>
      <c r="E28" s="11"/>
      <c r="F28" s="11">
        <f>+Depreciation!K25</f>
        <v>571463.09362720023</v>
      </c>
      <c r="G28" s="13"/>
    </row>
    <row r="29" spans="1:10">
      <c r="A29" s="3"/>
      <c r="B29" s="3" t="s">
        <v>17</v>
      </c>
      <c r="C29" s="27"/>
      <c r="D29" s="28">
        <f>D10*0.93%</f>
        <v>233802.9272875</v>
      </c>
      <c r="E29" s="11"/>
      <c r="F29" s="28">
        <f>F10*0.93%</f>
        <v>233802.9272875</v>
      </c>
      <c r="G29" s="29"/>
      <c r="H29" s="30"/>
      <c r="I29" s="31"/>
      <c r="J29" s="32"/>
    </row>
    <row r="30" spans="1:10">
      <c r="A30" s="3"/>
      <c r="B30" s="3" t="s">
        <v>16</v>
      </c>
      <c r="C30" s="27"/>
      <c r="D30" s="28"/>
      <c r="E30" s="11"/>
      <c r="F30" s="28"/>
      <c r="G30" s="29"/>
      <c r="H30" s="30"/>
      <c r="I30" s="31"/>
      <c r="J30" s="32"/>
    </row>
    <row r="31" spans="1:10">
      <c r="A31" s="3"/>
      <c r="B31" s="3" t="s">
        <v>18</v>
      </c>
      <c r="C31" s="33"/>
      <c r="D31" s="11">
        <v>10288.346714076191</v>
      </c>
      <c r="E31" s="11"/>
      <c r="F31" s="11">
        <v>10288.346714076191</v>
      </c>
      <c r="G31" s="29"/>
      <c r="H31" s="78"/>
      <c r="I31" s="31"/>
    </row>
    <row r="32" spans="1:10">
      <c r="A32" s="3"/>
      <c r="B32" s="3" t="s">
        <v>19</v>
      </c>
      <c r="C32" s="33"/>
      <c r="D32" s="11">
        <f>'Income Statement'!B24</f>
        <v>16013.415550763684</v>
      </c>
      <c r="E32" s="11"/>
      <c r="F32" s="11">
        <f>'Income Statement'!D24</f>
        <v>16013.415550763668</v>
      </c>
      <c r="G32" s="29"/>
      <c r="H32" s="12"/>
      <c r="I32" s="31"/>
    </row>
    <row r="33" spans="1:8">
      <c r="A33" s="3"/>
      <c r="B33" s="3" t="s">
        <v>20</v>
      </c>
      <c r="C33" s="33"/>
      <c r="D33" s="11">
        <v>0</v>
      </c>
      <c r="E33" s="11"/>
      <c r="F33" s="11">
        <v>0</v>
      </c>
      <c r="G33" s="29"/>
    </row>
    <row r="34" spans="1:8">
      <c r="A34" s="3"/>
      <c r="B34" s="3" t="s">
        <v>21</v>
      </c>
      <c r="C34" s="3"/>
      <c r="D34" s="11">
        <f>'Income Statement'!B26</f>
        <v>14347.328454284345</v>
      </c>
      <c r="E34" s="11"/>
      <c r="F34" s="11">
        <f>'Income Statement'!D26</f>
        <v>14347.328454284345</v>
      </c>
      <c r="G34" s="34"/>
    </row>
    <row r="35" spans="1:8">
      <c r="A35" s="3"/>
      <c r="B35" s="3"/>
      <c r="C35" s="3"/>
      <c r="D35" s="9"/>
      <c r="E35" s="34"/>
      <c r="F35" s="9"/>
      <c r="G35" s="35"/>
    </row>
    <row r="36" spans="1:8">
      <c r="A36" s="3"/>
      <c r="B36" s="36" t="s">
        <v>12</v>
      </c>
      <c r="C36" s="3"/>
      <c r="D36" s="43">
        <f>SUM(D27:D34)</f>
        <v>1127515.1116338244</v>
      </c>
      <c r="E36" s="35"/>
      <c r="F36" s="43">
        <f>SUM(F27:F34)</f>
        <v>1127515.1116338244</v>
      </c>
      <c r="G36" s="35"/>
    </row>
    <row r="37" spans="1:8">
      <c r="A37" s="3"/>
      <c r="B37" s="37"/>
      <c r="C37" s="3"/>
      <c r="D37" s="3"/>
      <c r="E37" s="35"/>
      <c r="F37" s="3"/>
      <c r="G37" s="35"/>
    </row>
    <row r="38" spans="1:8" ht="15" thickBot="1">
      <c r="A38" s="3"/>
      <c r="B38" s="38" t="s">
        <v>13</v>
      </c>
      <c r="C38" s="3"/>
      <c r="D38" s="42">
        <f>D36+D24</f>
        <v>3429745.0772384107</v>
      </c>
      <c r="E38" s="39"/>
      <c r="F38" s="42">
        <f>F36+F24</f>
        <v>3429745.0772384107</v>
      </c>
      <c r="G38" s="39"/>
      <c r="H38" s="49"/>
    </row>
    <row r="39" spans="1:8" ht="15" thickTop="1">
      <c r="A39" s="3"/>
      <c r="B39" s="1"/>
      <c r="C39" s="3"/>
      <c r="D39" s="39"/>
      <c r="E39" s="39"/>
      <c r="F39" s="39"/>
      <c r="G39" s="39"/>
    </row>
    <row r="40" spans="1:8">
      <c r="A40" s="3"/>
      <c r="B40" s="96"/>
      <c r="C40" s="96"/>
      <c r="D40" s="96"/>
      <c r="E40" s="1"/>
      <c r="F40" s="1"/>
      <c r="G40" s="3"/>
    </row>
  </sheetData>
  <mergeCells count="7">
    <mergeCell ref="B40:D40"/>
    <mergeCell ref="A1:G1"/>
    <mergeCell ref="A2:G2"/>
    <mergeCell ref="A3:G3"/>
    <mergeCell ref="A4:G4"/>
    <mergeCell ref="A5:G5"/>
    <mergeCell ref="A6:G6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22881-DFF5-4A56-B113-C9A2B8E6B90F}">
  <dimension ref="A1:F15"/>
  <sheetViews>
    <sheetView workbookViewId="0">
      <selection activeCell="A18" sqref="A18"/>
    </sheetView>
  </sheetViews>
  <sheetFormatPr defaultRowHeight="14.4"/>
  <cols>
    <col min="1" max="1" width="20.77734375" customWidth="1"/>
    <col min="2" max="2" width="9.77734375" customWidth="1"/>
    <col min="3" max="3" width="15.77734375" bestFit="1" customWidth="1"/>
    <col min="4" max="4" width="9.77734375" customWidth="1"/>
    <col min="5" max="5" width="14.6640625" bestFit="1" customWidth="1"/>
    <col min="6" max="6" width="13.88671875" bestFit="1" customWidth="1"/>
    <col min="7" max="7" width="12.77734375" customWidth="1"/>
  </cols>
  <sheetData>
    <row r="1" spans="1:6">
      <c r="A1" s="96" t="s">
        <v>14</v>
      </c>
      <c r="B1" s="96"/>
      <c r="C1" s="96"/>
      <c r="D1" s="96"/>
      <c r="E1" s="96"/>
      <c r="F1" s="96"/>
    </row>
    <row r="2" spans="1:6">
      <c r="A2" s="96" t="str">
        <f>'Revenue Requirement'!A2</f>
        <v>Clean Energy Transistion Plan Project 1</v>
      </c>
      <c r="B2" s="96"/>
      <c r="C2" s="96"/>
      <c r="D2" s="96"/>
      <c r="E2" s="96"/>
      <c r="F2" s="96"/>
    </row>
    <row r="3" spans="1:6">
      <c r="A3" s="96" t="str">
        <f>'Revenue Requirement'!A3</f>
        <v>Synchronous Condensers</v>
      </c>
      <c r="B3" s="96"/>
      <c r="C3" s="96"/>
      <c r="D3" s="96"/>
      <c r="E3" s="96"/>
      <c r="F3" s="96"/>
    </row>
    <row r="4" spans="1:6">
      <c r="A4" s="98" t="s">
        <v>24</v>
      </c>
      <c r="B4" s="98"/>
      <c r="C4" s="98"/>
      <c r="D4" s="98"/>
      <c r="E4" s="98"/>
      <c r="F4" s="98"/>
    </row>
    <row r="7" spans="1:6">
      <c r="A7" s="5"/>
      <c r="B7" s="5"/>
      <c r="C7" s="1" t="s">
        <v>25</v>
      </c>
      <c r="D7" s="1" t="s">
        <v>26</v>
      </c>
    </row>
    <row r="8" spans="1:6">
      <c r="A8" s="44" t="s">
        <v>24</v>
      </c>
      <c r="B8" s="4" t="s">
        <v>27</v>
      </c>
      <c r="C8" s="4" t="s">
        <v>28</v>
      </c>
      <c r="D8" s="4" t="s">
        <v>29</v>
      </c>
    </row>
    <row r="9" spans="1:6">
      <c r="A9" s="45" t="s">
        <v>30</v>
      </c>
      <c r="B9" s="46">
        <v>0.11749999999999999</v>
      </c>
      <c r="C9" s="46">
        <v>0.55000000000000004</v>
      </c>
      <c r="D9" s="46">
        <f>ROUND(+B9*C9,4)</f>
        <v>6.4600000000000005E-2</v>
      </c>
    </row>
    <row r="10" spans="1:6">
      <c r="A10" s="45" t="s">
        <v>31</v>
      </c>
      <c r="B10" s="24">
        <v>5.9586679681719427E-2</v>
      </c>
      <c r="C10" s="46">
        <v>0.45</v>
      </c>
      <c r="D10" s="46">
        <f>ROUND(+B10*C10,4)</f>
        <v>2.6800000000000001E-2</v>
      </c>
    </row>
    <row r="11" spans="1:6">
      <c r="A11" s="45"/>
      <c r="B11" s="20"/>
      <c r="C11" s="46"/>
      <c r="D11" s="46"/>
    </row>
    <row r="12" spans="1:6" ht="15" thickBot="1">
      <c r="A12" s="40" t="s">
        <v>32</v>
      </c>
      <c r="B12" s="3"/>
      <c r="C12" s="47">
        <v>1</v>
      </c>
      <c r="D12" s="47">
        <f>ROUND(SUM(D9:D10),4)</f>
        <v>9.1399999999999995E-2</v>
      </c>
    </row>
    <row r="13" spans="1:6" ht="15" thickTop="1"/>
    <row r="15" spans="1:6">
      <c r="A15" s="45" t="s">
        <v>95</v>
      </c>
      <c r="B15" s="48"/>
    </row>
  </sheetData>
  <mergeCells count="4">
    <mergeCell ref="A1:F1"/>
    <mergeCell ref="A2:F2"/>
    <mergeCell ref="A3:F3"/>
    <mergeCell ref="A4:F4"/>
  </mergeCells>
  <phoneticPr fontId="14" type="noConversion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EEC82-F79F-46AB-832F-2F0E4CEE0F61}">
  <dimension ref="A1:M33"/>
  <sheetViews>
    <sheetView workbookViewId="0">
      <selection activeCell="M23" sqref="M23:M24"/>
    </sheetView>
  </sheetViews>
  <sheetFormatPr defaultRowHeight="14.4"/>
  <cols>
    <col min="1" max="1" width="19.6640625" bestFit="1" customWidth="1"/>
    <col min="2" max="2" width="9.33203125" bestFit="1" customWidth="1"/>
    <col min="3" max="3" width="9.21875" bestFit="1" customWidth="1"/>
    <col min="4" max="4" width="13" bestFit="1" customWidth="1"/>
    <col min="5" max="5" width="13.6640625" bestFit="1" customWidth="1"/>
    <col min="6" max="6" width="12.6640625" bestFit="1" customWidth="1"/>
    <col min="7" max="7" width="13.6640625" bestFit="1" customWidth="1"/>
    <col min="8" max="8" width="8.33203125" customWidth="1"/>
    <col min="9" max="9" width="14.6640625" customWidth="1"/>
    <col min="10" max="10" width="3.21875" customWidth="1"/>
    <col min="11" max="11" width="13.6640625" customWidth="1"/>
    <col min="17" max="17" width="48.88671875" bestFit="1" customWidth="1"/>
    <col min="18" max="18" width="8.77734375" customWidth="1"/>
    <col min="19" max="19" width="19.77734375" bestFit="1" customWidth="1"/>
  </cols>
  <sheetData>
    <row r="1" spans="1:13">
      <c r="A1" s="96" t="s">
        <v>14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</row>
    <row r="2" spans="1:13">
      <c r="A2" s="96" t="str">
        <f>'Revenue Requirement'!A2</f>
        <v>Clean Energy Transistion Plan Project 1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</row>
    <row r="3" spans="1:13">
      <c r="A3" s="96" t="str">
        <f>'Revenue Requirement'!A3</f>
        <v>Synchronous Condensers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</row>
    <row r="4" spans="1:13">
      <c r="A4" s="98" t="s">
        <v>11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</row>
    <row r="6" spans="1:13">
      <c r="I6" s="85">
        <v>2025</v>
      </c>
      <c r="K6" s="85">
        <v>2026</v>
      </c>
    </row>
    <row r="7" spans="1:13">
      <c r="A7" s="52"/>
      <c r="B7" s="86" t="s">
        <v>90</v>
      </c>
      <c r="C7" s="86" t="s">
        <v>91</v>
      </c>
      <c r="D7" s="86" t="s">
        <v>92</v>
      </c>
      <c r="E7" s="86" t="s">
        <v>88</v>
      </c>
      <c r="F7" s="86" t="s">
        <v>89</v>
      </c>
      <c r="G7" s="86" t="s">
        <v>32</v>
      </c>
      <c r="H7" s="52"/>
      <c r="I7" s="82" t="s">
        <v>34</v>
      </c>
      <c r="K7" s="82" t="s">
        <v>34</v>
      </c>
    </row>
    <row r="8" spans="1:13">
      <c r="A8" t="s">
        <v>77</v>
      </c>
      <c r="B8" s="93">
        <v>45444</v>
      </c>
      <c r="C8" s="93">
        <v>45596</v>
      </c>
      <c r="D8" s="90">
        <f>DATEDIF(B8, C8, "M")+1</f>
        <v>5</v>
      </c>
      <c r="E8" s="90">
        <v>1402500</v>
      </c>
      <c r="F8" s="90">
        <f>(E8*'Cost of Capital'!$D$12)/12*D8</f>
        <v>53411.875</v>
      </c>
      <c r="G8" s="90">
        <f>SUM(E8:F8)</f>
        <v>1455911.875</v>
      </c>
      <c r="I8" s="49">
        <f>G8</f>
        <v>1455911.875</v>
      </c>
      <c r="K8" s="49"/>
    </row>
    <row r="9" spans="1:13">
      <c r="A9" t="s">
        <v>78</v>
      </c>
      <c r="B9" s="93">
        <v>45809</v>
      </c>
      <c r="C9" s="93">
        <v>45961</v>
      </c>
      <c r="D9" s="90">
        <f>DATEDIF(B9, C9, "M")+1</f>
        <v>5</v>
      </c>
      <c r="E9" s="90">
        <v>1402500</v>
      </c>
      <c r="F9" s="90">
        <f>(E9*'Cost of Capital'!$D$12)/12*D9</f>
        <v>53411.875</v>
      </c>
      <c r="G9" s="90">
        <f>SUM(E9:F9)</f>
        <v>1455911.875</v>
      </c>
      <c r="I9" s="49"/>
      <c r="K9" s="49">
        <f>G9</f>
        <v>1455911.875</v>
      </c>
    </row>
    <row r="10" spans="1:13" ht="15" thickBot="1">
      <c r="C10" s="94"/>
      <c r="D10" s="94"/>
      <c r="E10" s="91">
        <f>SUM(E8:E9)</f>
        <v>2805000</v>
      </c>
      <c r="F10" s="91">
        <f>SUM(F8:F9)</f>
        <v>106823.75</v>
      </c>
      <c r="G10" s="91">
        <f>SUM(G8:G9)</f>
        <v>2911823.75</v>
      </c>
      <c r="I10" s="50">
        <f>SUM(I8:I9)</f>
        <v>1455911.875</v>
      </c>
      <c r="K10" s="50">
        <f>SUM(K8:K9)</f>
        <v>1455911.875</v>
      </c>
    </row>
    <row r="11" spans="1:13">
      <c r="C11" s="94"/>
      <c r="D11" s="94"/>
      <c r="E11" s="90"/>
      <c r="F11" s="90"/>
      <c r="G11" s="90"/>
      <c r="I11" s="49"/>
      <c r="K11" s="49"/>
    </row>
    <row r="12" spans="1:13">
      <c r="A12" t="s">
        <v>79</v>
      </c>
      <c r="B12" s="93">
        <v>45444</v>
      </c>
      <c r="C12" s="93">
        <v>46022</v>
      </c>
      <c r="D12" s="90">
        <f>DATEDIF(B12, C12, "M")+1</f>
        <v>19</v>
      </c>
      <c r="E12" s="90">
        <f>41380000/4</f>
        <v>10345000</v>
      </c>
      <c r="F12" s="90">
        <f>(E12*'Cost of Capital'!$D$12)/12*D12</f>
        <v>1497093.9166666667</v>
      </c>
      <c r="G12" s="90">
        <f>SUM(E12:F12)</f>
        <v>11842093.916666666</v>
      </c>
      <c r="I12" s="49">
        <f>G12</f>
        <v>11842093.916666666</v>
      </c>
      <c r="K12" s="49"/>
    </row>
    <row r="13" spans="1:13">
      <c r="A13" t="s">
        <v>80</v>
      </c>
      <c r="B13" s="93">
        <v>45444</v>
      </c>
      <c r="C13" s="93">
        <v>46022</v>
      </c>
      <c r="D13" s="90">
        <f>DATEDIF(B13, C13, "M")+1</f>
        <v>19</v>
      </c>
      <c r="E13" s="90">
        <f t="shared" ref="E13:E15" si="0">41380000/4</f>
        <v>10345000</v>
      </c>
      <c r="F13" s="90">
        <f>(E13*'Cost of Capital'!$D$12)/12*D13</f>
        <v>1497093.9166666667</v>
      </c>
      <c r="G13" s="90">
        <f t="shared" ref="G13:G15" si="1">SUM(E13:F13)</f>
        <v>11842093.916666666</v>
      </c>
      <c r="I13" s="49">
        <f>G13</f>
        <v>11842093.916666666</v>
      </c>
      <c r="K13" s="49"/>
    </row>
    <row r="14" spans="1:13">
      <c r="A14" t="s">
        <v>81</v>
      </c>
      <c r="B14" s="93">
        <v>45809</v>
      </c>
      <c r="C14" s="93">
        <v>46387</v>
      </c>
      <c r="D14" s="90">
        <f>DATEDIF(B14, C14, "M")+1</f>
        <v>19</v>
      </c>
      <c r="E14" s="90">
        <f t="shared" si="0"/>
        <v>10345000</v>
      </c>
      <c r="F14" s="90">
        <f>(E14*'Cost of Capital'!$D$12)/12*D14</f>
        <v>1497093.9166666667</v>
      </c>
      <c r="G14" s="90">
        <f t="shared" si="1"/>
        <v>11842093.916666666</v>
      </c>
      <c r="I14" s="49"/>
      <c r="K14" s="49">
        <f>G14</f>
        <v>11842093.916666666</v>
      </c>
    </row>
    <row r="15" spans="1:13">
      <c r="A15" t="s">
        <v>82</v>
      </c>
      <c r="B15" s="93">
        <v>45809</v>
      </c>
      <c r="C15" s="93">
        <v>46387</v>
      </c>
      <c r="D15" s="90">
        <f>DATEDIF(B15, C15, "M")+1</f>
        <v>19</v>
      </c>
      <c r="E15" s="90">
        <f t="shared" si="0"/>
        <v>10345000</v>
      </c>
      <c r="F15" s="90">
        <f>(E15*'Cost of Capital'!$D$12)/12*D15</f>
        <v>1497093.9166666667</v>
      </c>
      <c r="G15" s="90">
        <f t="shared" si="1"/>
        <v>11842093.916666666</v>
      </c>
      <c r="I15" s="49"/>
      <c r="K15" s="49">
        <f>G15</f>
        <v>11842093.916666666</v>
      </c>
    </row>
    <row r="16" spans="1:13" ht="15" thickBot="1">
      <c r="E16" s="91">
        <f>SUM(E12:E15)</f>
        <v>41380000</v>
      </c>
      <c r="F16" s="91">
        <f>SUM(F12:F15)</f>
        <v>5988375.666666667</v>
      </c>
      <c r="G16" s="91">
        <f>SUM(G12:G15)</f>
        <v>47368375.666666664</v>
      </c>
      <c r="I16" s="50">
        <f>SUM(I12:I15)</f>
        <v>23684187.833333332</v>
      </c>
      <c r="K16" s="50">
        <f>SUM(K12:K15)</f>
        <v>23684187.833333332</v>
      </c>
    </row>
    <row r="20" spans="1:13">
      <c r="A20" t="s">
        <v>35</v>
      </c>
      <c r="I20" s="51">
        <v>2.0598478783879909E-2</v>
      </c>
      <c r="K20" s="51">
        <v>2.0598478783879909E-2</v>
      </c>
      <c r="M20" t="s">
        <v>74</v>
      </c>
    </row>
    <row r="21" spans="1:13">
      <c r="A21" t="s">
        <v>35</v>
      </c>
      <c r="I21" s="51">
        <v>2.2862237353004744E-2</v>
      </c>
      <c r="K21" s="51">
        <v>2.2862237353004744E-2</v>
      </c>
      <c r="M21" t="s">
        <v>75</v>
      </c>
    </row>
    <row r="23" spans="1:13">
      <c r="A23" t="s">
        <v>36</v>
      </c>
      <c r="I23" s="31">
        <f>I10*I20</f>
        <v>29989.569868386319</v>
      </c>
      <c r="K23" s="31">
        <f>K10*K20</f>
        <v>29989.569868386319</v>
      </c>
      <c r="M23" t="s">
        <v>74</v>
      </c>
    </row>
    <row r="24" spans="1:13">
      <c r="A24" t="s">
        <v>36</v>
      </c>
      <c r="I24" s="31">
        <f>I16*I21</f>
        <v>541473.52375881386</v>
      </c>
      <c r="K24" s="31">
        <f>K16*K21</f>
        <v>541473.52375881386</v>
      </c>
      <c r="M24" t="s">
        <v>75</v>
      </c>
    </row>
    <row r="25" spans="1:13" ht="15" thickBot="1">
      <c r="I25" s="50">
        <f>SUM(I23:I24)</f>
        <v>571463.09362720023</v>
      </c>
      <c r="K25" s="50">
        <f>SUM(K23:K24)</f>
        <v>571463.09362720023</v>
      </c>
    </row>
    <row r="32" spans="1:13">
      <c r="M32" s="51"/>
    </row>
    <row r="33" spans="13:13">
      <c r="M33" s="51"/>
    </row>
  </sheetData>
  <mergeCells count="4">
    <mergeCell ref="A1:M1"/>
    <mergeCell ref="A2:M2"/>
    <mergeCell ref="A3:M3"/>
    <mergeCell ref="A4:M4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8D352-33C9-4655-A677-B212A2519B9F}">
  <dimension ref="A1:F12"/>
  <sheetViews>
    <sheetView workbookViewId="0">
      <selection activeCell="H16" sqref="H16"/>
    </sheetView>
  </sheetViews>
  <sheetFormatPr defaultRowHeight="14.4"/>
  <cols>
    <col min="1" max="1" width="5.77734375" customWidth="1"/>
    <col min="2" max="2" width="21.88671875" customWidth="1"/>
    <col min="3" max="3" width="14.5546875" customWidth="1"/>
    <col min="4" max="4" width="2.77734375" customWidth="1"/>
    <col min="5" max="5" width="14.77734375" customWidth="1"/>
  </cols>
  <sheetData>
    <row r="1" spans="1:6">
      <c r="A1" s="96" t="s">
        <v>14</v>
      </c>
      <c r="B1" s="96"/>
      <c r="C1" s="96"/>
      <c r="D1" s="96"/>
      <c r="E1" s="96"/>
      <c r="F1" s="96"/>
    </row>
    <row r="2" spans="1:6">
      <c r="A2" s="96" t="str">
        <f>'Revenue Requirement'!A2</f>
        <v>Clean Energy Transistion Plan Project 1</v>
      </c>
      <c r="B2" s="96"/>
      <c r="C2" s="96"/>
      <c r="D2" s="96"/>
      <c r="E2" s="96"/>
      <c r="F2" s="96"/>
    </row>
    <row r="3" spans="1:6">
      <c r="A3" s="96" t="str">
        <f>'Revenue Requirement'!A3</f>
        <v>Synchronous Condensers</v>
      </c>
      <c r="B3" s="96"/>
      <c r="C3" s="96"/>
      <c r="D3" s="96"/>
      <c r="E3" s="96"/>
      <c r="F3" s="96"/>
    </row>
    <row r="4" spans="1:6">
      <c r="A4" s="98" t="s">
        <v>37</v>
      </c>
      <c r="B4" s="98"/>
      <c r="C4" s="98"/>
      <c r="D4" s="98"/>
      <c r="E4" s="98"/>
      <c r="F4" s="98"/>
    </row>
    <row r="6" spans="1:6">
      <c r="C6" s="86">
        <v>2025</v>
      </c>
      <c r="E6" s="86">
        <v>2026</v>
      </c>
    </row>
    <row r="7" spans="1:6">
      <c r="C7" s="52" t="s">
        <v>37</v>
      </c>
      <c r="E7" s="52" t="s">
        <v>37</v>
      </c>
    </row>
    <row r="8" spans="1:6">
      <c r="B8" t="s">
        <v>83</v>
      </c>
      <c r="C8" s="49">
        <v>140800</v>
      </c>
      <c r="E8" s="49"/>
    </row>
    <row r="9" spans="1:6">
      <c r="B9" t="s">
        <v>84</v>
      </c>
      <c r="C9" s="49">
        <v>140800</v>
      </c>
      <c r="E9" s="49"/>
    </row>
    <row r="10" spans="1:6">
      <c r="B10" t="s">
        <v>85</v>
      </c>
      <c r="C10" s="49"/>
      <c r="E10" s="49">
        <v>140800</v>
      </c>
    </row>
    <row r="11" spans="1:6">
      <c r="B11" t="s">
        <v>86</v>
      </c>
      <c r="C11" s="49"/>
      <c r="E11" s="49">
        <v>140800</v>
      </c>
    </row>
    <row r="12" spans="1:6" ht="15" thickBot="1">
      <c r="C12" s="87">
        <f>SUM(C8:C11)</f>
        <v>281600</v>
      </c>
      <c r="E12" s="87">
        <f>SUM(E8:E11)</f>
        <v>281600</v>
      </c>
    </row>
  </sheetData>
  <mergeCells count="4">
    <mergeCell ref="A1:F1"/>
    <mergeCell ref="A2:F2"/>
    <mergeCell ref="A3:F3"/>
    <mergeCell ref="A4:F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2FA43-B904-4BA4-9127-85407810A438}">
  <dimension ref="A1:P59"/>
  <sheetViews>
    <sheetView workbookViewId="0">
      <selection activeCell="R42" sqref="R42"/>
    </sheetView>
  </sheetViews>
  <sheetFormatPr defaultRowHeight="14.4" outlineLevelCol="1"/>
  <cols>
    <col min="1" max="1" width="48.5546875" customWidth="1"/>
    <col min="2" max="2" width="12.109375" bestFit="1" customWidth="1"/>
    <col min="3" max="3" width="3.44140625" customWidth="1"/>
    <col min="4" max="4" width="12.109375" bestFit="1" customWidth="1"/>
    <col min="5" max="6" width="13.21875" hidden="1" customWidth="1" outlineLevel="1"/>
    <col min="7" max="7" width="24.77734375" hidden="1" customWidth="1" outlineLevel="1"/>
    <col min="8" max="8" width="5" hidden="1" customWidth="1" outlineLevel="1"/>
    <col min="9" max="9" width="7.109375" hidden="1" customWidth="1" outlineLevel="1"/>
    <col min="10" max="10" width="13.21875" hidden="1" customWidth="1" outlineLevel="1"/>
    <col min="11" max="11" width="9.33203125" hidden="1" customWidth="1" outlineLevel="1"/>
    <col min="12" max="12" width="2.44140625" hidden="1" customWidth="1" outlineLevel="1"/>
    <col min="13" max="13" width="9.5546875" hidden="1" customWidth="1" outlineLevel="1"/>
    <col min="14" max="15" width="0" hidden="1" customWidth="1" outlineLevel="1"/>
    <col min="16" max="16" width="8.88671875" collapsed="1"/>
  </cols>
  <sheetData>
    <row r="1" spans="1:13">
      <c r="A1" s="96" t="s">
        <v>14</v>
      </c>
      <c r="B1" s="96"/>
      <c r="C1" s="96"/>
      <c r="D1" s="96"/>
      <c r="E1" s="96"/>
    </row>
    <row r="2" spans="1:13">
      <c r="A2" s="96" t="str">
        <f>'Revenue Requirement'!A2</f>
        <v>Clean Energy Transistion Plan Project 1</v>
      </c>
      <c r="B2" s="96"/>
      <c r="C2" s="96"/>
      <c r="D2" s="96"/>
      <c r="E2" s="96"/>
    </row>
    <row r="3" spans="1:13">
      <c r="A3" s="96" t="str">
        <f>'Revenue Requirement'!A3</f>
        <v>Synchronous Condensers</v>
      </c>
      <c r="B3" s="96"/>
      <c r="C3" s="96"/>
      <c r="D3" s="96"/>
      <c r="E3" s="96"/>
    </row>
    <row r="4" spans="1:13">
      <c r="A4" s="98" t="s">
        <v>16</v>
      </c>
      <c r="B4" s="98"/>
      <c r="C4" s="98"/>
      <c r="D4" s="98"/>
      <c r="E4" s="98"/>
    </row>
    <row r="7" spans="1:13" s="55" customFormat="1" ht="15" thickBot="1">
      <c r="A7" s="53" t="s">
        <v>38</v>
      </c>
      <c r="B7" s="54" t="s">
        <v>39</v>
      </c>
      <c r="C7"/>
      <c r="D7" s="54" t="s">
        <v>93</v>
      </c>
      <c r="G7" s="60" t="s">
        <v>50</v>
      </c>
      <c r="H7" s="58" t="s">
        <v>51</v>
      </c>
      <c r="I7" s="58" t="s">
        <v>27</v>
      </c>
      <c r="J7" s="59" t="s">
        <v>34</v>
      </c>
      <c r="K7" s="58">
        <v>2025</v>
      </c>
      <c r="L7"/>
      <c r="M7" s="58">
        <v>2026</v>
      </c>
    </row>
    <row r="8" spans="1:13" s="55" customFormat="1">
      <c r="A8" s="56"/>
      <c r="C8"/>
      <c r="G8" s="60"/>
      <c r="L8"/>
    </row>
    <row r="9" spans="1:13" s="55" customFormat="1">
      <c r="A9" s="56"/>
      <c r="C9"/>
      <c r="G9" s="60"/>
      <c r="H9" s="60"/>
      <c r="I9" s="61"/>
      <c r="J9" s="62"/>
      <c r="K9" s="62"/>
      <c r="L9"/>
      <c r="M9" s="62">
        <v>0</v>
      </c>
    </row>
    <row r="10" spans="1:13" s="55" customFormat="1">
      <c r="A10" s="56"/>
      <c r="C10"/>
      <c r="G10" s="60" t="s">
        <v>74</v>
      </c>
      <c r="H10" s="60">
        <v>2025</v>
      </c>
      <c r="I10" s="61">
        <v>0.05</v>
      </c>
      <c r="J10" s="62">
        <f>Depreciation!I10</f>
        <v>1455911.875</v>
      </c>
      <c r="K10" s="62">
        <f>$J10*$I10</f>
        <v>72795.59375</v>
      </c>
      <c r="L10"/>
      <c r="M10" s="62">
        <v>0</v>
      </c>
    </row>
    <row r="11" spans="1:13" s="55" customFormat="1">
      <c r="A11" s="56" t="s">
        <v>40</v>
      </c>
      <c r="B11" s="62">
        <f>'Income Statement'!B12-'Income Statement'!B19</f>
        <v>2342879.0563237104</v>
      </c>
      <c r="C11"/>
      <c r="D11" s="62">
        <f>'Income Statement'!D12-'Income Statement'!D19</f>
        <v>2342879.0563237104</v>
      </c>
      <c r="G11" s="60" t="s">
        <v>75</v>
      </c>
      <c r="H11" s="60">
        <v>2025</v>
      </c>
      <c r="I11" s="61">
        <v>0.05</v>
      </c>
      <c r="J11" s="62">
        <f>Depreciation!I16</f>
        <v>23684187.833333332</v>
      </c>
      <c r="K11" s="62">
        <f>$J11*$I11</f>
        <v>1184209.3916666666</v>
      </c>
      <c r="L11"/>
      <c r="M11" s="62">
        <v>0</v>
      </c>
    </row>
    <row r="12" spans="1:13" s="55" customFormat="1">
      <c r="A12" s="56"/>
      <c r="B12" s="62"/>
      <c r="C12"/>
      <c r="D12" s="62"/>
      <c r="G12" s="60" t="s">
        <v>74</v>
      </c>
      <c r="H12" s="60">
        <v>2026</v>
      </c>
      <c r="I12" s="61">
        <v>0.05</v>
      </c>
      <c r="J12" s="62">
        <f>Depreciation!K10</f>
        <v>1455911.875</v>
      </c>
      <c r="K12" s="62">
        <v>0</v>
      </c>
      <c r="L12"/>
      <c r="M12" s="62">
        <f>$J12*$I12</f>
        <v>72795.59375</v>
      </c>
    </row>
    <row r="13" spans="1:13" s="55" customFormat="1">
      <c r="A13" s="57" t="s">
        <v>41</v>
      </c>
      <c r="B13" s="62"/>
      <c r="C13"/>
      <c r="D13" s="62"/>
      <c r="G13" s="60" t="s">
        <v>75</v>
      </c>
      <c r="H13" s="60">
        <v>2026</v>
      </c>
      <c r="I13" s="61">
        <v>0.05</v>
      </c>
      <c r="J13" s="62">
        <f>Depreciation!K16</f>
        <v>23684187.833333332</v>
      </c>
      <c r="K13" s="62">
        <v>0</v>
      </c>
      <c r="L13"/>
      <c r="M13" s="62">
        <f>$J13*$I13</f>
        <v>1184209.3916666666</v>
      </c>
    </row>
    <row r="14" spans="1:13" s="55" customFormat="1">
      <c r="A14" s="56" t="s">
        <v>11</v>
      </c>
      <c r="B14" s="62">
        <f>Depreciation!$I$25</f>
        <v>571463.09362720023</v>
      </c>
      <c r="C14"/>
      <c r="D14" s="62">
        <f>Depreciation!$I$25</f>
        <v>571463.09362720023</v>
      </c>
      <c r="H14" s="60"/>
      <c r="I14" s="61"/>
      <c r="J14" s="62"/>
      <c r="K14" s="62">
        <v>0</v>
      </c>
      <c r="L14"/>
      <c r="M14" s="62">
        <v>0</v>
      </c>
    </row>
    <row r="15" spans="1:13" s="55" customFormat="1">
      <c r="A15" s="56"/>
      <c r="B15" s="62"/>
      <c r="C15"/>
      <c r="D15" s="62"/>
      <c r="G15" s="60"/>
      <c r="H15" s="60"/>
      <c r="I15" s="61"/>
      <c r="J15" s="63"/>
      <c r="K15" s="62"/>
      <c r="L15"/>
      <c r="M15" s="62"/>
    </row>
    <row r="16" spans="1:13" s="55" customFormat="1" ht="15" thickBot="1">
      <c r="A16" s="57" t="s">
        <v>42</v>
      </c>
      <c r="B16" s="62"/>
      <c r="C16"/>
      <c r="D16" s="62"/>
      <c r="J16" s="67">
        <f t="shared" ref="J16:K16" si="0">SUM(J9:J15)</f>
        <v>50280199.416666664</v>
      </c>
      <c r="K16" s="67">
        <f t="shared" si="0"/>
        <v>1257004.9854166666</v>
      </c>
      <c r="L16"/>
      <c r="M16" s="67">
        <f>SUM(M9:M15)</f>
        <v>1257004.9854166666</v>
      </c>
    </row>
    <row r="17" spans="1:13" s="55" customFormat="1">
      <c r="A17" s="56" t="s">
        <v>44</v>
      </c>
      <c r="B17" s="62">
        <f>-K16</f>
        <v>-1257004.9854166666</v>
      </c>
      <c r="C17"/>
      <c r="D17" s="62">
        <f>-M16</f>
        <v>-1257004.9854166666</v>
      </c>
      <c r="L17"/>
    </row>
    <row r="18" spans="1:13" s="55" customFormat="1">
      <c r="A18" s="56" t="s">
        <v>45</v>
      </c>
      <c r="B18" s="62">
        <f>-K28</f>
        <v>-628502.4927083333</v>
      </c>
      <c r="C18"/>
      <c r="D18" s="62">
        <f>-M28</f>
        <v>-628502.4927083333</v>
      </c>
      <c r="L18"/>
    </row>
    <row r="19" spans="1:13" s="55" customFormat="1">
      <c r="A19" s="56"/>
      <c r="B19" s="62"/>
      <c r="C19"/>
      <c r="D19" s="62"/>
      <c r="L19"/>
    </row>
    <row r="20" spans="1:13" s="55" customFormat="1" ht="15" thickBot="1">
      <c r="A20" s="53" t="s">
        <v>46</v>
      </c>
      <c r="B20" s="62">
        <f>SUM(B11:B19)</f>
        <v>1028834.6718259105</v>
      </c>
      <c r="C20"/>
      <c r="D20" s="62">
        <f>SUM(D11:D19)</f>
        <v>1028834.6718259105</v>
      </c>
      <c r="G20" s="60" t="s">
        <v>52</v>
      </c>
      <c r="H20" s="58" t="s">
        <v>51</v>
      </c>
      <c r="I20" s="58" t="s">
        <v>27</v>
      </c>
      <c r="J20" s="59" t="s">
        <v>53</v>
      </c>
      <c r="K20" s="58">
        <v>2025</v>
      </c>
      <c r="L20"/>
      <c r="M20" s="58">
        <v>2026</v>
      </c>
    </row>
    <row r="21" spans="1:13" s="55" customFormat="1">
      <c r="A21" s="56"/>
      <c r="B21" s="62"/>
      <c r="C21"/>
      <c r="D21" s="62"/>
      <c r="G21" s="60"/>
      <c r="L21"/>
    </row>
    <row r="22" spans="1:13" s="55" customFormat="1">
      <c r="A22" s="57" t="s">
        <v>48</v>
      </c>
      <c r="B22" s="62"/>
      <c r="C22"/>
      <c r="D22" s="62"/>
      <c r="G22" s="60"/>
      <c r="H22" s="60"/>
      <c r="I22" s="61"/>
      <c r="J22" s="62"/>
      <c r="K22" s="62"/>
      <c r="L22"/>
      <c r="M22" s="62"/>
    </row>
    <row r="23" spans="1:13" s="55" customFormat="1">
      <c r="A23" s="56" t="s">
        <v>47</v>
      </c>
      <c r="B23" s="89">
        <v>0.01</v>
      </c>
      <c r="C23"/>
      <c r="D23" s="89">
        <v>0.01</v>
      </c>
      <c r="G23" s="60" t="s">
        <v>74</v>
      </c>
      <c r="H23" s="60">
        <v>2025</v>
      </c>
      <c r="I23" s="61">
        <v>0.05</v>
      </c>
      <c r="J23" s="62">
        <f>J10/2</f>
        <v>727955.9375</v>
      </c>
      <c r="K23" s="62">
        <f>$J23*$I23</f>
        <v>36397.796875</v>
      </c>
      <c r="L23"/>
      <c r="M23" s="62">
        <v>0</v>
      </c>
    </row>
    <row r="24" spans="1:13" s="55" customFormat="1">
      <c r="A24" s="56"/>
      <c r="B24" s="62"/>
      <c r="C24"/>
      <c r="D24" s="62"/>
      <c r="G24" s="60" t="s">
        <v>75</v>
      </c>
      <c r="H24" s="60">
        <v>2025</v>
      </c>
      <c r="I24" s="61">
        <v>0.05</v>
      </c>
      <c r="J24" s="62">
        <f t="shared" ref="J24:J26" si="1">J11/2</f>
        <v>11842093.916666666</v>
      </c>
      <c r="K24" s="62">
        <f>$J24*$I24</f>
        <v>592104.6958333333</v>
      </c>
      <c r="L24"/>
      <c r="M24" s="62">
        <v>0</v>
      </c>
    </row>
    <row r="25" spans="1:13" s="55" customFormat="1">
      <c r="A25" s="56" t="s">
        <v>49</v>
      </c>
      <c r="B25" s="62">
        <f>B20*B23</f>
        <v>10288.346718259105</v>
      </c>
      <c r="C25"/>
      <c r="D25" s="62">
        <f>D20*D23</f>
        <v>10288.346718259105</v>
      </c>
      <c r="G25" s="60" t="s">
        <v>74</v>
      </c>
      <c r="H25" s="60">
        <v>2026</v>
      </c>
      <c r="I25" s="61">
        <v>0.05</v>
      </c>
      <c r="J25" s="62">
        <f t="shared" si="1"/>
        <v>727955.9375</v>
      </c>
      <c r="K25" s="62">
        <v>0</v>
      </c>
      <c r="L25"/>
      <c r="M25" s="62">
        <f>$J25*$I25</f>
        <v>36397.796875</v>
      </c>
    </row>
    <row r="26" spans="1:13" s="55" customFormat="1">
      <c r="A26" s="56"/>
      <c r="B26" s="62"/>
      <c r="C26"/>
      <c r="D26" s="62"/>
      <c r="G26" s="60" t="s">
        <v>75</v>
      </c>
      <c r="H26" s="60">
        <v>2026</v>
      </c>
      <c r="I26" s="61">
        <v>0.05</v>
      </c>
      <c r="J26" s="62">
        <f t="shared" si="1"/>
        <v>11842093.916666666</v>
      </c>
      <c r="K26" s="62">
        <v>0</v>
      </c>
      <c r="L26"/>
      <c r="M26" s="62">
        <f>$J26*$I26</f>
        <v>592104.6958333333</v>
      </c>
    </row>
    <row r="27" spans="1:13" s="55" customFormat="1">
      <c r="A27" s="56"/>
      <c r="B27" s="62"/>
      <c r="C27"/>
      <c r="D27" s="62"/>
      <c r="L27"/>
    </row>
    <row r="28" spans="1:13" s="55" customFormat="1" ht="15" thickBot="1">
      <c r="A28" s="56"/>
      <c r="B28" s="62"/>
      <c r="C28"/>
      <c r="D28" s="62"/>
      <c r="J28" s="67">
        <f>SUM(J23:J27)</f>
        <v>25140099.708333332</v>
      </c>
      <c r="K28" s="67">
        <f t="shared" ref="K28:M28" si="2">SUM(K22:K27)</f>
        <v>628502.4927083333</v>
      </c>
      <c r="L28"/>
      <c r="M28" s="67">
        <f t="shared" si="2"/>
        <v>628502.4927083333</v>
      </c>
    </row>
    <row r="29" spans="1:13" s="55" customFormat="1">
      <c r="A29" s="66" t="s">
        <v>59</v>
      </c>
      <c r="B29"/>
      <c r="C29"/>
      <c r="D29"/>
      <c r="L29"/>
    </row>
    <row r="30" spans="1:13" s="55" customFormat="1" ht="15" thickBot="1">
      <c r="B30" s="58">
        <v>2025</v>
      </c>
      <c r="C30"/>
      <c r="D30" s="58">
        <v>2026</v>
      </c>
      <c r="L30"/>
    </row>
    <row r="31" spans="1:13" s="55" customFormat="1">
      <c r="A31" s="55" t="s">
        <v>54</v>
      </c>
      <c r="B31" s="62">
        <f>K16</f>
        <v>1257004.9854166666</v>
      </c>
      <c r="C31"/>
      <c r="D31" s="62">
        <f>M16</f>
        <v>1257004.9854166666</v>
      </c>
      <c r="L31"/>
    </row>
    <row r="32" spans="1:13" s="55" customFormat="1">
      <c r="C32"/>
      <c r="K32" s="92">
        <v>2.3358770255401826E-2</v>
      </c>
      <c r="L32"/>
      <c r="M32" s="92">
        <v>2.3358770255401826E-2</v>
      </c>
    </row>
    <row r="33" spans="1:13" s="55" customFormat="1" ht="15" thickBot="1">
      <c r="A33" s="55" t="s">
        <v>55</v>
      </c>
      <c r="B33" s="62">
        <f>-Depreciation!I25</f>
        <v>-571463.09362720023</v>
      </c>
      <c r="C33"/>
      <c r="D33" s="62">
        <f>-Depreciation!K25</f>
        <v>-571463.09362720023</v>
      </c>
      <c r="G33" s="60" t="s">
        <v>71</v>
      </c>
      <c r="H33" s="58" t="s">
        <v>51</v>
      </c>
      <c r="I33" s="58" t="s">
        <v>27</v>
      </c>
      <c r="J33" s="59" t="s">
        <v>53</v>
      </c>
      <c r="K33" s="58">
        <v>2025</v>
      </c>
      <c r="L33"/>
      <c r="M33" s="58">
        <v>2026</v>
      </c>
    </row>
    <row r="34" spans="1:13" s="55" customFormat="1">
      <c r="G34" s="60"/>
      <c r="L34"/>
    </row>
    <row r="35" spans="1:13" s="55" customFormat="1">
      <c r="B35" s="64">
        <f>SUM(B31:B33)</f>
        <v>685541.89178946638</v>
      </c>
      <c r="C35"/>
      <c r="D35" s="64">
        <f>SUM(D31:D33)</f>
        <v>685541.89178946638</v>
      </c>
      <c r="G35" s="60" t="s">
        <v>74</v>
      </c>
      <c r="H35" s="60">
        <v>2025</v>
      </c>
      <c r="I35" s="61">
        <v>2.0598478783879909E-2</v>
      </c>
      <c r="J35" s="62"/>
      <c r="K35" s="62">
        <f>K23*K32</f>
        <v>850.20777500590748</v>
      </c>
      <c r="L35"/>
      <c r="M35" s="62">
        <v>0</v>
      </c>
    </row>
    <row r="36" spans="1:13" s="55" customFormat="1">
      <c r="C36"/>
      <c r="G36" s="60" t="s">
        <v>75</v>
      </c>
      <c r="H36" s="60">
        <v>2025</v>
      </c>
      <c r="I36" s="61">
        <v>2.2862237353004744E-2</v>
      </c>
      <c r="J36" s="62"/>
      <c r="K36" s="62">
        <f>K24*K32</f>
        <v>13830.837557115412</v>
      </c>
      <c r="L36"/>
      <c r="M36" s="62">
        <v>0</v>
      </c>
    </row>
    <row r="37" spans="1:13" s="55" customFormat="1">
      <c r="A37" s="55" t="s">
        <v>96</v>
      </c>
      <c r="B37" s="65">
        <v>2.3358770255401826E-2</v>
      </c>
      <c r="C37"/>
      <c r="D37" s="65">
        <v>2.3358770255401801E-2</v>
      </c>
      <c r="G37" s="60" t="s">
        <v>74</v>
      </c>
      <c r="H37" s="60">
        <v>2026</v>
      </c>
      <c r="I37" s="61">
        <v>2.0598478783879909E-2</v>
      </c>
      <c r="J37" s="62"/>
      <c r="K37" s="62">
        <f t="shared" ref="K37:M38" si="3">K25*K$32</f>
        <v>0</v>
      </c>
      <c r="L37"/>
      <c r="M37" s="62">
        <f t="shared" si="3"/>
        <v>850.20777500590748</v>
      </c>
    </row>
    <row r="38" spans="1:13" s="55" customFormat="1">
      <c r="C38"/>
      <c r="G38" s="60" t="s">
        <v>75</v>
      </c>
      <c r="H38" s="60">
        <v>2026</v>
      </c>
      <c r="I38" s="61">
        <v>2.2862237353004744E-2</v>
      </c>
      <c r="J38" s="62"/>
      <c r="K38" s="62">
        <f t="shared" si="3"/>
        <v>0</v>
      </c>
      <c r="L38"/>
      <c r="M38" s="62">
        <f t="shared" si="3"/>
        <v>13830.837557115412</v>
      </c>
    </row>
    <row r="39" spans="1:13" s="55" customFormat="1">
      <c r="A39" s="55" t="s">
        <v>56</v>
      </c>
      <c r="B39" s="55">
        <f t="shared" ref="B39" si="4">B35*B37</f>
        <v>16013.415550763684</v>
      </c>
      <c r="C39"/>
      <c r="D39" s="55">
        <f>D35*D37</f>
        <v>16013.415550763668</v>
      </c>
      <c r="G39" s="60"/>
      <c r="H39" s="60"/>
      <c r="I39" s="61"/>
      <c r="J39" s="62"/>
      <c r="K39" s="62"/>
      <c r="L39"/>
      <c r="M39" s="62"/>
    </row>
    <row r="40" spans="1:13" s="55" customFormat="1">
      <c r="A40" s="55" t="s">
        <v>57</v>
      </c>
      <c r="B40" s="55">
        <f>B39</f>
        <v>16013.415550763684</v>
      </c>
      <c r="C40"/>
      <c r="D40" s="55">
        <f>D39</f>
        <v>16013.415550763668</v>
      </c>
      <c r="J40" s="81">
        <f>SUM(J35:J39)</f>
        <v>0</v>
      </c>
      <c r="K40" s="81">
        <f t="shared" ref="K40:M40" si="5">SUM(K35:K39)</f>
        <v>14681.045332121319</v>
      </c>
      <c r="L40"/>
      <c r="M40" s="81">
        <f t="shared" si="5"/>
        <v>14681.045332121319</v>
      </c>
    </row>
    <row r="41" spans="1:13" s="55" customFormat="1">
      <c r="A41"/>
      <c r="B41"/>
      <c r="C41"/>
      <c r="D41"/>
      <c r="L41"/>
    </row>
    <row r="42" spans="1:13" s="55" customFormat="1">
      <c r="A42" s="56"/>
      <c r="B42" s="62"/>
      <c r="C42"/>
      <c r="D42" s="62"/>
      <c r="G42" s="83" t="s">
        <v>76</v>
      </c>
      <c r="L42"/>
    </row>
    <row r="43" spans="1:13" s="55" customFormat="1">
      <c r="G43" s="60" t="s">
        <v>74</v>
      </c>
      <c r="I43" s="61">
        <v>2.0598478783879909E-2</v>
      </c>
      <c r="K43" s="62">
        <f>-(K35*$I$43)</f>
        <v>-17.512986815348928</v>
      </c>
      <c r="L43"/>
      <c r="M43" s="62">
        <f>-(M37*$I$43)</f>
        <v>-17.512986815348928</v>
      </c>
    </row>
    <row r="44" spans="1:13" s="55" customFormat="1">
      <c r="G44" s="60" t="s">
        <v>75</v>
      </c>
      <c r="I44" s="61">
        <v>2.2862237353004744E-2</v>
      </c>
      <c r="K44" s="62">
        <f>-(K36*$I$44)</f>
        <v>-316.20389102162488</v>
      </c>
      <c r="L44"/>
      <c r="M44" s="62">
        <f>-(M38*$I$44)</f>
        <v>-316.20389102162488</v>
      </c>
    </row>
    <row r="45" spans="1:13" s="55" customFormat="1">
      <c r="J45" s="81">
        <f>SUM(J43:J44)</f>
        <v>0</v>
      </c>
      <c r="K45" s="81">
        <f t="shared" ref="K45" si="6">SUM(K43:K44)</f>
        <v>-333.71687783697382</v>
      </c>
      <c r="L45"/>
      <c r="M45" s="81">
        <f>SUM(M43:M44)</f>
        <v>-333.71687783697382</v>
      </c>
    </row>
    <row r="46" spans="1:13" s="55" customFormat="1">
      <c r="A46" s="56"/>
      <c r="B46" s="62"/>
      <c r="C46"/>
      <c r="D46" s="62"/>
      <c r="L46"/>
    </row>
    <row r="47" spans="1:13" s="55" customFormat="1">
      <c r="A47" s="56"/>
      <c r="B47" s="62"/>
      <c r="C47"/>
      <c r="D47" s="62"/>
      <c r="G47" s="60" t="s">
        <v>74</v>
      </c>
      <c r="H47"/>
      <c r="I47"/>
      <c r="J47"/>
      <c r="K47" s="84">
        <f>K35+K43</f>
        <v>832.6947881905586</v>
      </c>
      <c r="L47"/>
      <c r="M47" s="84">
        <f>M37+M43</f>
        <v>832.6947881905586</v>
      </c>
    </row>
    <row r="48" spans="1:13" s="55" customFormat="1">
      <c r="A48" s="56"/>
      <c r="B48" s="62"/>
      <c r="C48"/>
      <c r="D48" s="62"/>
      <c r="G48" s="60" t="s">
        <v>75</v>
      </c>
      <c r="J48" s="62"/>
      <c r="K48" s="84">
        <f>K36+K44</f>
        <v>13514.633666093787</v>
      </c>
      <c r="L48"/>
      <c r="M48" s="84">
        <f>M38+M44</f>
        <v>13514.633666093787</v>
      </c>
    </row>
    <row r="49" spans="1:13" s="55" customFormat="1" ht="15" thickBot="1">
      <c r="A49" s="56"/>
      <c r="B49" s="62"/>
      <c r="C49"/>
      <c r="D49" s="62"/>
      <c r="G49" s="55" t="s">
        <v>58</v>
      </c>
      <c r="J49" s="67">
        <f>SUM(J47:J48)</f>
        <v>0</v>
      </c>
      <c r="K49" s="67">
        <f t="shared" ref="K49" si="7">SUM(K47:K48)</f>
        <v>14347.328454284345</v>
      </c>
      <c r="L49"/>
      <c r="M49" s="67">
        <f>SUM(M47:M48)</f>
        <v>14347.328454284345</v>
      </c>
    </row>
    <row r="50" spans="1:13" s="55" customFormat="1">
      <c r="L50"/>
    </row>
    <row r="51" spans="1:13" s="55" customFormat="1">
      <c r="A51" s="56"/>
      <c r="C51"/>
    </row>
    <row r="56" spans="1:13">
      <c r="H56" s="55"/>
      <c r="I56" s="55"/>
      <c r="J56" s="84"/>
      <c r="K56" s="84"/>
      <c r="M56" s="84"/>
    </row>
    <row r="57" spans="1:13">
      <c r="G57" s="55"/>
      <c r="H57" s="55"/>
      <c r="I57" s="55"/>
      <c r="J57" s="55"/>
      <c r="K57" s="55"/>
      <c r="M57" s="55"/>
    </row>
    <row r="59" spans="1:13">
      <c r="G59" s="83"/>
    </row>
  </sheetData>
  <mergeCells count="4">
    <mergeCell ref="A1:E1"/>
    <mergeCell ref="A2:E2"/>
    <mergeCell ref="A3:E3"/>
    <mergeCell ref="A4:E4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3D844-27D8-47CA-B881-5B6D8CD31F35}">
  <dimension ref="A1:E40"/>
  <sheetViews>
    <sheetView workbookViewId="0">
      <selection activeCell="H10" sqref="H10"/>
    </sheetView>
  </sheetViews>
  <sheetFormatPr defaultRowHeight="14.4"/>
  <cols>
    <col min="1" max="1" width="38" customWidth="1"/>
    <col min="2" max="2" width="11" bestFit="1" customWidth="1"/>
    <col min="3" max="3" width="3.6640625" customWidth="1"/>
    <col min="4" max="4" width="11" bestFit="1" customWidth="1"/>
  </cols>
  <sheetData>
    <row r="1" spans="1:5">
      <c r="A1" s="96" t="s">
        <v>14</v>
      </c>
      <c r="B1" s="96"/>
      <c r="C1" s="96"/>
      <c r="D1" s="96"/>
      <c r="E1" s="96"/>
    </row>
    <row r="2" spans="1:5">
      <c r="A2" s="96" t="str">
        <f>'Revenue Requirement'!A2</f>
        <v>Clean Energy Transistion Plan Project 1</v>
      </c>
      <c r="B2" s="96"/>
      <c r="C2" s="96"/>
      <c r="D2" s="96"/>
      <c r="E2" s="96"/>
    </row>
    <row r="3" spans="1:5">
      <c r="A3" s="96" t="str">
        <f>'Revenue Requirement'!A3</f>
        <v>Synchronous Condensers</v>
      </c>
      <c r="B3" s="96"/>
      <c r="C3" s="96"/>
      <c r="D3" s="96"/>
      <c r="E3" s="96"/>
    </row>
    <row r="4" spans="1:5">
      <c r="A4" s="98" t="s">
        <v>72</v>
      </c>
      <c r="B4" s="98"/>
      <c r="C4" s="98"/>
      <c r="D4" s="98"/>
      <c r="E4" s="98"/>
    </row>
    <row r="7" spans="1:5">
      <c r="A7" s="68"/>
      <c r="B7" s="69" t="s">
        <v>60</v>
      </c>
      <c r="D7" s="69" t="s">
        <v>60</v>
      </c>
    </row>
    <row r="8" spans="1:5">
      <c r="A8" s="70"/>
      <c r="B8" s="54" t="s">
        <v>39</v>
      </c>
      <c r="D8" s="54" t="s">
        <v>93</v>
      </c>
    </row>
    <row r="9" spans="1:5">
      <c r="A9" s="5" t="s">
        <v>61</v>
      </c>
    </row>
    <row r="10" spans="1:5">
      <c r="A10" s="3" t="s">
        <v>62</v>
      </c>
      <c r="B10" s="12">
        <f>'Revenue Requirement'!$D$38</f>
        <v>3429745.0772384107</v>
      </c>
      <c r="D10" s="12">
        <f>'Revenue Requirement'!$D$38</f>
        <v>3429745.0772384107</v>
      </c>
    </row>
    <row r="11" spans="1:5">
      <c r="A11" s="3"/>
      <c r="B11" s="71"/>
      <c r="D11" s="71"/>
    </row>
    <row r="12" spans="1:5">
      <c r="A12" s="3"/>
      <c r="B12" s="72">
        <f t="shared" ref="B12" si="0">SUM(B10:B11)</f>
        <v>3429745.0772384107</v>
      </c>
      <c r="D12" s="72">
        <f t="shared" ref="D12" si="1">SUM(D10:D11)</f>
        <v>3429745.0772384107</v>
      </c>
    </row>
    <row r="13" spans="1:5">
      <c r="A13" s="3"/>
    </row>
    <row r="14" spans="1:5">
      <c r="A14" s="3"/>
    </row>
    <row r="15" spans="1:5">
      <c r="A15" s="5" t="s">
        <v>63</v>
      </c>
    </row>
    <row r="16" spans="1:5">
      <c r="A16" s="3" t="s">
        <v>11</v>
      </c>
      <c r="B16" s="12">
        <f>Depreciation!I25</f>
        <v>571463.09362720023</v>
      </c>
      <c r="D16" s="12">
        <f>Depreciation!K25</f>
        <v>571463.09362720023</v>
      </c>
    </row>
    <row r="17" spans="1:4">
      <c r="A17" s="3" t="s">
        <v>87</v>
      </c>
      <c r="B17" s="12">
        <f>'O&amp;M Expenses'!C12</f>
        <v>281600</v>
      </c>
      <c r="D17" s="12">
        <f>'O&amp;M Expenses'!E12</f>
        <v>281600</v>
      </c>
    </row>
    <row r="18" spans="1:4">
      <c r="A18" s="3" t="s">
        <v>17</v>
      </c>
      <c r="B18" s="12">
        <f>'Revenue Requirement'!$D$10*0.93%</f>
        <v>233802.9272875</v>
      </c>
      <c r="D18" s="12">
        <f>'Revenue Requirement'!$D$10*0.93%</f>
        <v>233802.9272875</v>
      </c>
    </row>
    <row r="19" spans="1:4">
      <c r="A19" s="3"/>
      <c r="B19" s="72">
        <f>SUM(B16:B18)</f>
        <v>1086866.0209147003</v>
      </c>
      <c r="D19" s="72">
        <f>SUM(D16:D18)</f>
        <v>1086866.0209147003</v>
      </c>
    </row>
    <row r="20" spans="1:4">
      <c r="A20" s="3"/>
    </row>
    <row r="21" spans="1:4">
      <c r="A21" s="3"/>
      <c r="B21" s="73"/>
      <c r="D21" s="73"/>
    </row>
    <row r="22" spans="1:4">
      <c r="A22" s="5" t="s">
        <v>16</v>
      </c>
      <c r="B22" s="12"/>
      <c r="D22" s="12"/>
    </row>
    <row r="23" spans="1:4">
      <c r="A23" s="3" t="s">
        <v>64</v>
      </c>
      <c r="B23" s="12">
        <f>Taxes!B25</f>
        <v>10288.346718259105</v>
      </c>
      <c r="D23" s="12">
        <f>Taxes!D25</f>
        <v>10288.346718259105</v>
      </c>
    </row>
    <row r="24" spans="1:4">
      <c r="A24" s="3" t="s">
        <v>65</v>
      </c>
      <c r="B24" s="12">
        <f>Taxes!B39</f>
        <v>16013.415550763684</v>
      </c>
      <c r="D24" s="12">
        <f>Taxes!D39</f>
        <v>16013.415550763668</v>
      </c>
    </row>
    <row r="25" spans="1:4">
      <c r="A25" s="3" t="s">
        <v>66</v>
      </c>
      <c r="B25" s="12">
        <v>0</v>
      </c>
      <c r="D25" s="12">
        <v>0</v>
      </c>
    </row>
    <row r="26" spans="1:4">
      <c r="A26" s="3" t="s">
        <v>43</v>
      </c>
      <c r="B26" s="12">
        <f>Taxes!K49</f>
        <v>14347.328454284345</v>
      </c>
      <c r="D26" s="12">
        <f>Taxes!M49</f>
        <v>14347.328454284345</v>
      </c>
    </row>
    <row r="27" spans="1:4">
      <c r="A27" s="3"/>
      <c r="B27" s="74">
        <f t="shared" ref="B27" si="2">SUM(B23:B26)</f>
        <v>40649.090723307134</v>
      </c>
      <c r="D27" s="74">
        <f t="shared" ref="D27" si="3">SUM(D23:D26)</f>
        <v>40649.090723307119</v>
      </c>
    </row>
    <row r="28" spans="1:4">
      <c r="A28" s="3"/>
    </row>
    <row r="29" spans="1:4" ht="15" thickBot="1">
      <c r="A29" s="5" t="s">
        <v>67</v>
      </c>
      <c r="B29" s="75">
        <f t="shared" ref="B29" si="4">B27+B19</f>
        <v>1127515.1116380075</v>
      </c>
      <c r="D29" s="75">
        <f t="shared" ref="D29" si="5">D27+D19</f>
        <v>1127515.1116380075</v>
      </c>
    </row>
    <row r="30" spans="1:4">
      <c r="A30" s="3"/>
    </row>
    <row r="32" spans="1:4">
      <c r="A32" s="3" t="s">
        <v>68</v>
      </c>
      <c r="B32" s="76">
        <f>B12-B19-B27</f>
        <v>2302229.965600403</v>
      </c>
      <c r="D32" s="76">
        <f>D12-D19-D27</f>
        <v>2302229.965600403</v>
      </c>
    </row>
    <row r="34" spans="1:4">
      <c r="A34" s="3" t="s">
        <v>69</v>
      </c>
      <c r="B34" s="12"/>
      <c r="D34" s="12"/>
    </row>
    <row r="35" spans="1:4">
      <c r="A35" s="3"/>
      <c r="B35" s="12"/>
      <c r="D35" s="12"/>
    </row>
    <row r="36" spans="1:4" ht="15" thickBot="1">
      <c r="A36" s="5" t="s">
        <v>70</v>
      </c>
      <c r="B36" s="77">
        <f t="shared" ref="B36" si="6">B32-B34</f>
        <v>2302229.965600403</v>
      </c>
      <c r="D36" s="77">
        <f t="shared" ref="D36" si="7">D32-D34</f>
        <v>2302229.965600403</v>
      </c>
    </row>
    <row r="37" spans="1:4" ht="15" thickTop="1"/>
    <row r="40" spans="1:4">
      <c r="A40" s="3"/>
      <c r="B40" s="12"/>
      <c r="C40" s="12"/>
      <c r="D40" s="12"/>
    </row>
  </sheetData>
  <mergeCells count="4">
    <mergeCell ref="A1:E1"/>
    <mergeCell ref="A2:E2"/>
    <mergeCell ref="A3:E3"/>
    <mergeCell ref="A4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Revenue Requirement</vt:lpstr>
      <vt:lpstr>Cost of Capital</vt:lpstr>
      <vt:lpstr>Depreciation</vt:lpstr>
      <vt:lpstr>O&amp;M Expenses</vt:lpstr>
      <vt:lpstr>Taxes</vt:lpstr>
      <vt:lpstr>Income Statement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Carter</dc:creator>
  <cp:lastModifiedBy>Adrian Carter</cp:lastModifiedBy>
  <dcterms:created xsi:type="dcterms:W3CDTF">2023-07-12T20:05:39Z</dcterms:created>
  <dcterms:modified xsi:type="dcterms:W3CDTF">2023-10-04T18:16:39Z</dcterms:modified>
</cp:coreProperties>
</file>